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085"/>
  </bookViews>
  <sheets>
    <sheet name="2019" sheetId="10" r:id="rId1"/>
  </sheets>
  <definedNames>
    <definedName name="_xlnm._FilterDatabase" localSheetId="0" hidden="1">'2019'!$A$29:$N$35</definedName>
  </definedNames>
  <calcPr calcId="144525"/>
</workbook>
</file>

<file path=xl/calcChain.xml><?xml version="1.0" encoding="utf-8"?>
<calcChain xmlns="http://schemas.openxmlformats.org/spreadsheetml/2006/main">
  <c r="E19" i="10" l="1"/>
  <c r="L186" i="10"/>
  <c r="L188" i="10" l="1"/>
  <c r="L187" i="10"/>
  <c r="L185" i="10"/>
  <c r="L184" i="10"/>
  <c r="D19" i="10" l="1"/>
  <c r="L183" i="10"/>
  <c r="L182" i="10"/>
  <c r="L180" i="10"/>
  <c r="L168" i="10" l="1"/>
  <c r="L140" i="10"/>
  <c r="L157" i="10"/>
  <c r="L158" i="10"/>
  <c r="L179" i="10"/>
  <c r="L178" i="10"/>
  <c r="L174" i="10"/>
  <c r="L177" i="10"/>
  <c r="L176" i="10" l="1"/>
  <c r="L175" i="10" l="1"/>
  <c r="L86" i="10" l="1"/>
  <c r="L42" i="10"/>
  <c r="L115" i="10"/>
  <c r="L173" i="10"/>
  <c r="L172" i="10"/>
  <c r="L170" i="10"/>
  <c r="L169" i="10"/>
  <c r="L87" i="10" l="1"/>
  <c r="L62" i="10" l="1"/>
  <c r="L167" i="10"/>
  <c r="L166" i="10"/>
  <c r="L165" i="10"/>
  <c r="L164" i="10"/>
  <c r="L163" i="10" l="1"/>
  <c r="L50" i="10" l="1"/>
  <c r="L46" i="10" l="1"/>
  <c r="L159" i="10"/>
  <c r="L156" i="10"/>
  <c r="L150" i="10" l="1"/>
  <c r="L79" i="10" l="1"/>
  <c r="L149" i="10"/>
  <c r="L148" i="10"/>
  <c r="L147" i="10"/>
  <c r="L146" i="10"/>
  <c r="L145" i="10"/>
  <c r="L144" i="10"/>
  <c r="L143" i="10"/>
  <c r="L142" i="10"/>
  <c r="L61" i="10" l="1"/>
  <c r="L141" i="10"/>
  <c r="L119" i="10" l="1"/>
  <c r="L139" i="10"/>
  <c r="L138" i="10"/>
  <c r="L136" i="10"/>
  <c r="L135" i="10"/>
  <c r="L60" i="10" l="1"/>
  <c r="L59" i="10"/>
  <c r="L98" i="10"/>
  <c r="L94" i="10"/>
  <c r="L95" i="10"/>
  <c r="L130" i="10" l="1"/>
  <c r="L129" i="10"/>
  <c r="L128" i="10"/>
  <c r="L127" i="10"/>
  <c r="L117" i="10"/>
  <c r="L126" i="10"/>
  <c r="L125" i="10" l="1"/>
  <c r="L124" i="10"/>
  <c r="L123" i="10"/>
  <c r="L122" i="10"/>
  <c r="L121" i="10"/>
  <c r="L120" i="10"/>
  <c r="L118" i="10"/>
  <c r="L116" i="10"/>
  <c r="L85" i="10"/>
  <c r="L97" i="10" l="1"/>
  <c r="L110" i="10" l="1"/>
  <c r="L109" i="10"/>
  <c r="L108" i="10"/>
  <c r="L84" i="10"/>
  <c r="L58" i="10"/>
  <c r="L102" i="10"/>
  <c r="L100" i="10" l="1"/>
  <c r="L99" i="10" l="1"/>
  <c r="L93" i="10"/>
  <c r="L96" i="10"/>
  <c r="L83" i="10" l="1"/>
  <c r="L92" i="10" l="1"/>
  <c r="L57" i="10"/>
  <c r="L91" i="10"/>
  <c r="L90" i="10"/>
  <c r="L89" i="10"/>
  <c r="L88" i="10" l="1"/>
  <c r="L82" i="10" l="1"/>
  <c r="L81" i="10" l="1"/>
  <c r="L80" i="10"/>
  <c r="L78" i="10"/>
  <c r="L77" i="10" l="1"/>
  <c r="L76" i="10"/>
  <c r="L75" i="10" l="1"/>
  <c r="L71" i="10" l="1"/>
  <c r="L74" i="10"/>
  <c r="L73" i="10"/>
  <c r="L65" i="10"/>
  <c r="L72" i="10"/>
  <c r="L68" i="10"/>
  <c r="L70" i="10"/>
  <c r="L69" i="10"/>
  <c r="L67" i="10"/>
  <c r="L66" i="10"/>
  <c r="L64" i="10"/>
  <c r="L63" i="10"/>
  <c r="L56" i="10"/>
  <c r="L51" i="10" l="1"/>
  <c r="E18" i="10" l="1"/>
  <c r="L55" i="10"/>
  <c r="L54" i="10"/>
  <c r="L53" i="10"/>
  <c r="L49" i="10" l="1"/>
  <c r="L47" i="10" l="1"/>
  <c r="L36" i="10"/>
  <c r="L38" i="10"/>
  <c r="L45" i="10"/>
  <c r="L41" i="10" l="1"/>
  <c r="L37" i="10" l="1"/>
  <c r="L35" i="10" l="1"/>
  <c r="L34" i="10"/>
  <c r="L33" i="10"/>
  <c r="L32" i="10"/>
  <c r="L31" i="10" l="1"/>
  <c r="D18" i="10" l="1"/>
  <c r="E17" i="10" l="1"/>
  <c r="L191" i="10" l="1"/>
  <c r="F19" i="10" s="1"/>
  <c r="F20" i="10" s="1"/>
  <c r="D17" i="10"/>
  <c r="D20" i="10" s="1"/>
  <c r="E16" i="10" l="1"/>
  <c r="E20" i="10" s="1"/>
  <c r="F26" i="10" l="1"/>
  <c r="D26" i="10"/>
  <c r="E25" i="10" l="1"/>
  <c r="E27" i="10" s="1"/>
  <c r="D25" i="10"/>
  <c r="D27" i="10" s="1"/>
  <c r="F25" i="10" l="1"/>
</calcChain>
</file>

<file path=xl/sharedStrings.xml><?xml version="1.0" encoding="utf-8"?>
<sst xmlns="http://schemas.openxmlformats.org/spreadsheetml/2006/main" count="925" uniqueCount="492">
  <si>
    <t xml:space="preserve">ОТЧЕТ «Подари детям Жизнь» </t>
  </si>
  <si>
    <t>Дети</t>
  </si>
  <si>
    <t>Имя</t>
  </si>
  <si>
    <t>Год рождения</t>
  </si>
  <si>
    <t>Диагноз</t>
  </si>
  <si>
    <t>Дата операции</t>
  </si>
  <si>
    <t>Клиника</t>
  </si>
  <si>
    <t xml:space="preserve">Спонсоры </t>
  </si>
  <si>
    <t xml:space="preserve">Курс валюты на день оплаты </t>
  </si>
  <si>
    <t>Дата оплаты</t>
  </si>
  <si>
    <t>"Центр Тяжести", 2009</t>
  </si>
  <si>
    <t>Всего детей</t>
  </si>
  <si>
    <t>KZT</t>
  </si>
  <si>
    <t>ПДЖ</t>
  </si>
  <si>
    <t>Сумма в тенге</t>
  </si>
  <si>
    <t>Партнёры (фонды и компании), 2007- 2010</t>
  </si>
  <si>
    <t>"Российский фонд Помощи", 2009-2010</t>
  </si>
  <si>
    <t>Частные спонсоры, 2007-2012</t>
  </si>
  <si>
    <r>
      <t xml:space="preserve">Операции/курсы лечения </t>
    </r>
    <r>
      <rPr>
        <sz val="10"/>
        <rFont val="Verdana"/>
        <family val="2"/>
        <charset val="204"/>
      </rPr>
      <t>(некоторые дети были прооперированы 2 и более раз)</t>
    </r>
  </si>
  <si>
    <t xml:space="preserve">Стоимость операции, валюта </t>
  </si>
  <si>
    <t>Бесплатные операции в рамках сотрудничества с фондом "ДОМ", 2009-2013</t>
  </si>
  <si>
    <t xml:space="preserve">Примечания: 
1.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
2. Сумма первой оплаты соответствует заключенному с клиникой договору и выставленному счету. В нашем текущем финансовом отчете эта промежуточная сумма выделена зеленым цветом. Эта сумма в ходе лечения может измениться – уменьшится или увеличиться (например, изменилось количество дней в реанимации, потребовались/не потребовались дополнительные анализы или препараты и т.д.).
Итоговая фактическая сумма расходов отражается в актах выполненных работ и по мере поступления документов от клиники вносится в наш финансовый отчет.  
3. Большинство оплат за лечение детей в зарубежные клиники производится в долларах. В период с 2007 по 2015 года наш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4. При выборе клиники мы ориентируемся на соотношение «качество-цена». Более высокая стоимость лечения в клинике не означает более высокого качества лечения. Почти половину стоимости лечения составляют непрямые расходы – проживание в клинике, оплата административных расходов клиники и т.д. (соответственно, в странах с более высоким уровнем заработных плат персонала эти расходы в разы выше, и не отражаются на качестве лечения). </t>
  </si>
  <si>
    <t>Gaziosmanpasa HASTANESI</t>
  </si>
  <si>
    <t>УФК по Ленинградской обл. ЛОГБУЗ ДКБ</t>
  </si>
  <si>
    <t>7 000 USD</t>
  </si>
  <si>
    <t>неврология</t>
  </si>
  <si>
    <t>Istanbul Memorial Saglik Yatirimlari A.S.</t>
  </si>
  <si>
    <t>Умитжанкызы Жасмина</t>
  </si>
  <si>
    <t>склерокорнея, тотальная воронкообразная отслойка сетчатки</t>
  </si>
  <si>
    <t>Калиева Диляра</t>
  </si>
  <si>
    <t>Муковисцидоз легочная форма, ДН 2 степени</t>
  </si>
  <si>
    <t>Дуйсембек Досай</t>
  </si>
  <si>
    <t>Неконтролируемая бронхиальная астма,тяжелое течение</t>
  </si>
  <si>
    <t>ВСЕГО ПО АКЦИИ "ПОДАРИ ДЕТЯМ ЖИЗНЬ" 2007 - 2019</t>
  </si>
  <si>
    <t>Всего со счёта ОФ "ДОМ" 2007 - 2019</t>
  </si>
  <si>
    <t>ВСЕГО ЗА 2019</t>
  </si>
  <si>
    <t>Бостанова Гульназ</t>
  </si>
  <si>
    <t>Yuncheng research institute of scalp hospital</t>
  </si>
  <si>
    <t>1 334 USD</t>
  </si>
  <si>
    <t>Кол-во операций в 2019</t>
  </si>
  <si>
    <t>Кол-во операций 2007 -2019</t>
  </si>
  <si>
    <t>03.01.2019г.</t>
  </si>
  <si>
    <t> Мукополисахоридоз 6 типа</t>
  </si>
  <si>
    <t>Айдаркул Талапты</t>
  </si>
  <si>
    <t>08.01.2019г.</t>
  </si>
  <si>
    <t>2019, 2 операция</t>
  </si>
  <si>
    <t>2019, 6 операция</t>
  </si>
  <si>
    <t>62 307 RUB</t>
  </si>
  <si>
    <t>09.01.2019г.</t>
  </si>
  <si>
    <t>ФГБОУ ВО СЗМУ им.И.И.Мечникова МЗ России</t>
  </si>
  <si>
    <t>27 940 RUB</t>
  </si>
  <si>
    <t>920 USD</t>
  </si>
  <si>
    <t>2019, 4 курс/леч. (обследование)</t>
  </si>
  <si>
    <t>ТОО «Дёлер Казахстан»</t>
  </si>
  <si>
    <t>Москаев Елисей</t>
  </si>
  <si>
    <t>ТОО Институт хирургии</t>
  </si>
  <si>
    <t>500 000 KZT</t>
  </si>
  <si>
    <t>16.01.2019г.</t>
  </si>
  <si>
    <t>Атакелды Амина</t>
  </si>
  <si>
    <t>Воронкообразная деформация грудной клетки со сдавлением легкого</t>
  </si>
  <si>
    <t>9 000 USD</t>
  </si>
  <si>
    <t>14.01.2019г.</t>
  </si>
  <si>
    <t>Кайсаринова Радмина</t>
  </si>
  <si>
    <t>Ретинопатия недоношенных 5 ст</t>
  </si>
  <si>
    <t>СПб ГБУЗ ДГМКЦ ВМТ им.К.А.Раухфуса</t>
  </si>
  <si>
    <t>17.01.2019г.</t>
  </si>
  <si>
    <t>ПДЖ, в т.ч. -          160 000 тг. частный спонсор</t>
  </si>
  <si>
    <t>ПДЖ, в т.ч. -            100 000 тг. ТОО "DASM Ideas".        200 000 тг.           ТОО "CREA"</t>
  </si>
  <si>
    <t>ПДЖ, в т.ч. -            1 000 000 тг. АО "РТС ДЕКО",     500 000 тг. частный спонсор</t>
  </si>
  <si>
    <t>Рахимбеков Инсар</t>
  </si>
  <si>
    <t>Частичная атрофия зрительного нерва, Ротаторный инстагм,полноэкзомное секвенирование,генетика</t>
  </si>
  <si>
    <t>2019, обследование</t>
  </si>
  <si>
    <t>ООО Генотек</t>
  </si>
  <si>
    <t>44 990 RUB</t>
  </si>
  <si>
    <t>Даулбаев Асхат</t>
  </si>
  <si>
    <t>Общественный Фонд реабилитации "Я сам шагаю"</t>
  </si>
  <si>
    <t>151 500 KZT</t>
  </si>
  <si>
    <t>Редпрайс</t>
  </si>
  <si>
    <t>21.01.2019г.</t>
  </si>
  <si>
    <t>Айдарбек Ажар</t>
  </si>
  <si>
    <t>2019, 2 курс/леч.</t>
  </si>
  <si>
    <t>Центр новых медицинских технологий г.Тула</t>
  </si>
  <si>
    <t>138 300 KZT</t>
  </si>
  <si>
    <t>22.01.2019г.</t>
  </si>
  <si>
    <t>Гайнидин Магжан</t>
  </si>
  <si>
    <t>Нейромускулярный неосложненный сколиоз грудопоясничного отдела</t>
  </si>
  <si>
    <t>УФК по Курганской области (ФГБУ РНЦ ВТО им.акад.Г.А.Илизарова                    МЗ России</t>
  </si>
  <si>
    <t>328 585 RUB</t>
  </si>
  <si>
    <t>8 000 USD</t>
  </si>
  <si>
    <t>1 780 USD</t>
  </si>
  <si>
    <t>Сембек Ажар</t>
  </si>
  <si>
    <t>Врожденный множественный артрогрипоз,первичная аксональная недостаточность нервной проводимости по перефирическим нервным стволам обеих верхних конечностей</t>
  </si>
  <si>
    <t>2019, доплата</t>
  </si>
  <si>
    <t>5 000 USD</t>
  </si>
  <si>
    <t>23.01.2019г.</t>
  </si>
  <si>
    <t>АО "Самрук-Казына"</t>
  </si>
  <si>
    <t>28.01.2019г.</t>
  </si>
  <si>
    <t>Латыпова Анастасия</t>
  </si>
  <si>
    <t>Врожденная дисфункция коры надпочечников</t>
  </si>
  <si>
    <t>РДКБ ФГБОУ ВО РНИМУ им. Н.И.Пирогова Минздрава России</t>
  </si>
  <si>
    <t>55 000 RUB</t>
  </si>
  <si>
    <t>29.01.2019г.</t>
  </si>
  <si>
    <t>Омарбаева Дильфируза</t>
  </si>
  <si>
    <t>BioDevel Professional Ltd</t>
  </si>
  <si>
    <t>441 EUR</t>
  </si>
  <si>
    <t>31.01.2019г.</t>
  </si>
  <si>
    <t>Овчинников Владислав</t>
  </si>
  <si>
    <t>Нервно-мышечное заболевание, генетика</t>
  </si>
  <si>
    <t>39 990 RUB</t>
  </si>
  <si>
    <t>Мухамеджанов Рафаэль</t>
  </si>
  <si>
    <t>Билатеральный глиоз в области задних рогов боковых желудочков, генетика</t>
  </si>
  <si>
    <t>Смирнов Максим</t>
  </si>
  <si>
    <t>2019, 3 курс/леч.</t>
  </si>
  <si>
    <t>177 600 KZT</t>
  </si>
  <si>
    <t>Жандикеева Инкар</t>
  </si>
  <si>
    <t>327 700 KZT</t>
  </si>
  <si>
    <t>30.01.2019г.</t>
  </si>
  <si>
    <t>Возмещение расходов по лечению в рамках благотворительной акции Chokolife</t>
  </si>
  <si>
    <t>ПДЖ, в т.ч. -          200 000 тг. частный спонсор</t>
  </si>
  <si>
    <t>ПДЖ, в т.ч. -          178 000 тг. частный спонсор</t>
  </si>
  <si>
    <t>Муратов Абдурахман</t>
  </si>
  <si>
    <t>Гемимегалэнцефалия,фармакорезистентная фокальная эпилепсия с вторичной генерализацией</t>
  </si>
  <si>
    <t>УФК по г.Москве (ФГАУ НМИЦН им.ак.Н.Н.Бурденко МЗ России)</t>
  </si>
  <si>
    <t>13 610 RUB</t>
  </si>
  <si>
    <t>Калдыбаев Райян</t>
  </si>
  <si>
    <t>Мукополисахаридоз,синдром Гурлера,ТКМ </t>
  </si>
  <si>
    <t>06.02.2019г.</t>
  </si>
  <si>
    <t>Дауренбек Айша</t>
  </si>
  <si>
    <t>Папилломатоз гортани,рецедивирующая форма</t>
  </si>
  <si>
    <t>LEE JONG GIL Unicompas Co LTD</t>
  </si>
  <si>
    <t>3 000 USD</t>
  </si>
  <si>
    <t>07.02.2019г.</t>
  </si>
  <si>
    <t>Аманбек Абдирасул</t>
  </si>
  <si>
    <t>Паппиломатоз гортани</t>
  </si>
  <si>
    <t>2019, 5 операция</t>
  </si>
  <si>
    <t>Шацкая Валерия</t>
  </si>
  <si>
    <t>2019, 3 операция</t>
  </si>
  <si>
    <t>119 056,83 RUB</t>
  </si>
  <si>
    <t>Шерияздан Аспендияр</t>
  </si>
  <si>
    <t>Опухоль заднего отдела 3 желудочка</t>
  </si>
  <si>
    <t>Medipolitan Saglik Hizmetleri AS</t>
  </si>
  <si>
    <t>Онласын Айдана</t>
  </si>
  <si>
    <t> Ретинопатия недоношенных 5 ст</t>
  </si>
  <si>
    <t>109 864,83 RUB</t>
  </si>
  <si>
    <t>08.02.2019г.</t>
  </si>
  <si>
    <t>Арманулы Олжас</t>
  </si>
  <si>
    <t>ВПС,атрезия легочной артерии с интактной межжелудочковой перегородкой</t>
  </si>
  <si>
    <t>УФК по Томской области НИИ кардиологии</t>
  </si>
  <si>
    <t>500 000,00 RUB</t>
  </si>
  <si>
    <t>Молдабекова Айлин</t>
  </si>
  <si>
    <t>ВПР.ЖКТ.Гастрошизис (ВПР).Катеторная инфекция.Сепсис?Флебит и ромбофлебит других локализаций</t>
  </si>
  <si>
    <t>ГБУЗ г.Москвы ДГКБ 13 им.Н.Ф.Филатова ДЗМ</t>
  </si>
  <si>
    <t>65 300,00 RUB</t>
  </si>
  <si>
    <t>3 800 USD</t>
  </si>
  <si>
    <t>Джауылбай Сымбат</t>
  </si>
  <si>
    <t>Генетика</t>
  </si>
  <si>
    <t>Имангали Ескендир</t>
  </si>
  <si>
    <t>26 000 RUB</t>
  </si>
  <si>
    <t>11.02.2019г.</t>
  </si>
  <si>
    <t>ПДЖ, в т.ч. -              2 500 000 тг. ТОО "Эко-Техникс"</t>
  </si>
  <si>
    <t>643 040,00 RUB</t>
  </si>
  <si>
    <t>12.02.2019г.</t>
  </si>
  <si>
    <t>Скандарбек Арсен</t>
  </si>
  <si>
    <t> Ретинобластома</t>
  </si>
  <si>
    <t>УФК по г.Москве (ФГБУ НМИЦ онкологии им.Н.Н.Блохина)</t>
  </si>
  <si>
    <t>300 000 RUB</t>
  </si>
  <si>
    <t>13.02.2019г.</t>
  </si>
  <si>
    <t>Ибраева Ясмин</t>
  </si>
  <si>
    <t>ООО Геномед</t>
  </si>
  <si>
    <t>43 000 RUB</t>
  </si>
  <si>
    <t>15.02.2019г.</t>
  </si>
  <si>
    <t>Базарбай Айкоркем</t>
  </si>
  <si>
    <t>5 900 RUB</t>
  </si>
  <si>
    <t>ПДЖ, в т.ч. -           1 500 000 тг. ТОО "Эко-Техникс"</t>
  </si>
  <si>
    <t>ПДЖ, в т.ч. -           1 110 000 тг. частный спонсор</t>
  </si>
  <si>
    <t>частный спонсор</t>
  </si>
  <si>
    <t>Рахметдинов Шахрияр</t>
  </si>
  <si>
    <t>Билатеральная ретибластома </t>
  </si>
  <si>
    <t>УФК по г.Москве (ФГАУ НМИЦ МНТК Микрохирургия глаза им.акад.С.Н.Федорова)</t>
  </si>
  <si>
    <t>60 030 RUB</t>
  </si>
  <si>
    <t>18.02.2019г.</t>
  </si>
  <si>
    <t>21.02.2019г.</t>
  </si>
  <si>
    <t>Калиева Алина</t>
  </si>
  <si>
    <t>Криапирин-ассоциированный периодический синдром CINCA-NOMID</t>
  </si>
  <si>
    <t>2019, генетическое исследование</t>
  </si>
  <si>
    <t>УФК по г.Москве (ФГБНУ МГНЦ)</t>
  </si>
  <si>
    <t>18 000 RUB</t>
  </si>
  <si>
    <t>Козлова Ксения</t>
  </si>
  <si>
    <t>Наличие пересаженой печени,повышение уровня трансаминаз</t>
  </si>
  <si>
    <t>918 USD</t>
  </si>
  <si>
    <t>2019, 5 курс/леч.</t>
  </si>
  <si>
    <t>26.02.2019г.</t>
  </si>
  <si>
    <t>УФК по г.Москве (ФГБУ НМИЦ онкологии им.Н.Н.Блохина МЗ России)</t>
  </si>
  <si>
    <t>ПДЖ, в т.ч. -           4 000 000 тг. ТОО "Эко-Техникс",             2 000 000 тг. частный спонсор</t>
  </si>
  <si>
    <t>Абдиева София</t>
  </si>
  <si>
    <t>Анапластическая эпиндеома</t>
  </si>
  <si>
    <t>ООО ЛДЦ МИБС</t>
  </si>
  <si>
    <t>301 690 RUB</t>
  </si>
  <si>
    <t>Кушенева Камила</t>
  </si>
  <si>
    <t>Cerebral palsy jinzhong city federation of the disabled rehabil hospital</t>
  </si>
  <si>
    <t>Кемелхан Арсен</t>
  </si>
  <si>
    <t>118 417,83 RUB</t>
  </si>
  <si>
    <t>28.02.2019г.</t>
  </si>
  <si>
    <t>Бауржанулы Ануар</t>
  </si>
  <si>
    <t>Бауржанулы Ансар</t>
  </si>
  <si>
    <t>Алиев Эмирхан</t>
  </si>
  <si>
    <t>Мукополисахаридоз</t>
  </si>
  <si>
    <t>8 140 USD</t>
  </si>
  <si>
    <t>01.03.2019г.</t>
  </si>
  <si>
    <t>04.03.2019г.</t>
  </si>
  <si>
    <t>Ердосулы Елдар</t>
  </si>
  <si>
    <t>Новообразование четверохолмия</t>
  </si>
  <si>
    <t xml:space="preserve">400 000 тг. -                 ТОО «Almaty IT telecom»,                    100 000 тг. -             ТОО "National securities and communications" </t>
  </si>
  <si>
    <t>УФК по Республике Башкортостан ФГБУ "ВЦГПХ" МЗ России</t>
  </si>
  <si>
    <t xml:space="preserve">ПДЖ, в т.ч. -              2 700 000 тг. компания ТОО "Тапервэр Казахстан" </t>
  </si>
  <si>
    <t>ПДЖ, в т.ч. -               25 000 тг. Жумадилов Ерлан Жанабилович</t>
  </si>
  <si>
    <t>05.03.2019г.</t>
  </si>
  <si>
    <t>Нуртай Руслана</t>
  </si>
  <si>
    <t>500 000 RUB</t>
  </si>
  <si>
    <t>06.03.2019г.</t>
  </si>
  <si>
    <t>Хасенов Ислам</t>
  </si>
  <si>
    <t>Нейрофиброматоз,образование околоушной подчелюстной,шейной области слева</t>
  </si>
  <si>
    <t>6 000 USD</t>
  </si>
  <si>
    <t>Серкебаев Ермек</t>
  </si>
  <si>
    <t>536 USD</t>
  </si>
  <si>
    <t>11.03.2019г.</t>
  </si>
  <si>
    <t>Жанысбек Дарын</t>
  </si>
  <si>
    <t>Xi An Brain Disease Hospital Of TCM</t>
  </si>
  <si>
    <t>6 390,47 CNY</t>
  </si>
  <si>
    <t>12.03.2019г.</t>
  </si>
  <si>
    <t>Зареева София</t>
  </si>
  <si>
    <t>169 800 KZT</t>
  </si>
  <si>
    <t>15.03.2019г.</t>
  </si>
  <si>
    <t>Федоров Данил</t>
  </si>
  <si>
    <t>Government institution The scien-pract childrens cardiac center</t>
  </si>
  <si>
    <t xml:space="preserve"> 1 552,54 ЕUR</t>
  </si>
  <si>
    <t>Сарсенов Али</t>
  </si>
  <si>
    <t>Мукополисахоридоз 4 типа</t>
  </si>
  <si>
    <t>3 500 USD</t>
  </si>
  <si>
    <t>18.03.2019г.</t>
  </si>
  <si>
    <t>Каспер Анастасия</t>
  </si>
  <si>
    <t>Портальная гипертензия,варикозное расширение вен средней и нижней трети пищевода</t>
  </si>
  <si>
    <t>Мельникова Ангелина</t>
  </si>
  <si>
    <t>ВПС,D-транспозиция магистральных сосудов, ДМП</t>
  </si>
  <si>
    <t>УФК по г.Москве (ФГБУ НМИЦССХ им.А.Н.Бакулева МЗ России)</t>
  </si>
  <si>
    <t>478 200 RUB</t>
  </si>
  <si>
    <t>2019, 4 операция</t>
  </si>
  <si>
    <t>врожденный порок сердца с высокой легочной гипертензией.</t>
  </si>
  <si>
    <t>20.03.2019г.</t>
  </si>
  <si>
    <t>Асташова Есения</t>
  </si>
  <si>
    <t>Венозная мальформация небной области</t>
  </si>
  <si>
    <t>ООО Профессиональный медицинский центр</t>
  </si>
  <si>
    <t>УФК по г.Москве (ФГБНУ НИИР им.В.А.Насоновой)</t>
  </si>
  <si>
    <t>01.04.2019г.</t>
  </si>
  <si>
    <t>2019,              лечение</t>
  </si>
  <si>
    <t>Висангириев Билал</t>
  </si>
  <si>
    <t>Лимфостаз неясного генеза</t>
  </si>
  <si>
    <t>ООО НПЦ ЛИМФА</t>
  </si>
  <si>
    <t>160 000 RUB</t>
  </si>
  <si>
    <t>Кабжапаров Сункар</t>
  </si>
  <si>
    <t>Григорьева Вероника</t>
  </si>
  <si>
    <t>2019, 8 операция</t>
  </si>
  <si>
    <t>72 371 RUB</t>
  </si>
  <si>
    <t>Улугбеков Хусан</t>
  </si>
  <si>
    <t>Ретинопатия 5 ст</t>
  </si>
  <si>
    <t>110 466,17 RUB</t>
  </si>
  <si>
    <t>Улугбеков Хасан</t>
  </si>
  <si>
    <t>Каирбеков Амир</t>
  </si>
  <si>
    <t>114 727,17 RUB</t>
  </si>
  <si>
    <t>124 284,17 RUB</t>
  </si>
  <si>
    <t>Сейдилдахан Жанель</t>
  </si>
  <si>
    <t>129 417,84 RUB</t>
  </si>
  <si>
    <t>314 310 RUB</t>
  </si>
  <si>
    <t>Валдер Анна</t>
  </si>
  <si>
    <t>Муковисцидоз, смешанная форма</t>
  </si>
  <si>
    <t>УФК по г.Москве ФГАУ НМИЦ здоровья детей МЗ России</t>
  </si>
  <si>
    <t>146 335 RUB</t>
  </si>
  <si>
    <t>03.04.2019г.</t>
  </si>
  <si>
    <t>191 410 RUB</t>
  </si>
  <si>
    <t>Пасыров Азамат</t>
  </si>
  <si>
    <t>Синдром Мебиуса</t>
  </si>
  <si>
    <t>ООО МИФРМ</t>
  </si>
  <si>
    <t>451 750 RUB</t>
  </si>
  <si>
    <t>111 937,17 RUB</t>
  </si>
  <si>
    <t>Кужахметов Мирас</t>
  </si>
  <si>
    <t>112 569,17 RUB</t>
  </si>
  <si>
    <t>40 584 RUB</t>
  </si>
  <si>
    <t>05.04.2019г.</t>
  </si>
  <si>
    <t>202 100 KZT</t>
  </si>
  <si>
    <t>Смагул Адина</t>
  </si>
  <si>
    <t>132 200 KZT</t>
  </si>
  <si>
    <t>Сабит Аяулым</t>
  </si>
  <si>
    <t>Состояние после контузии глазного яблока тяжелой степени</t>
  </si>
  <si>
    <t>Байдос Балым</t>
  </si>
  <si>
    <t>ТОО "Медикер Алатау"</t>
  </si>
  <si>
    <t>225 290 RUB</t>
  </si>
  <si>
    <t>7 770 RUB</t>
  </si>
  <si>
    <t>ПДЖ, в т.ч. -            200 000 тг. ТОО "Origami Art",       2 700 000 тг. частный спонсор,                 1 035 000 тг. ТОО «Северо-Западная трубопроводная компания «МунайТас»</t>
  </si>
  <si>
    <t>08.04.2019г.</t>
  </si>
  <si>
    <t>09.04.2019г.</t>
  </si>
  <si>
    <t>Джанаберды Алихан</t>
  </si>
  <si>
    <t>Артериовенозная мальформация левой височной доли,области базальных ганглиев,левой ножки мозга</t>
  </si>
  <si>
    <t>4 000 USD</t>
  </si>
  <si>
    <t>2019, 2 курс/лечения</t>
  </si>
  <si>
    <t>Исламов Максат</t>
  </si>
  <si>
    <t>112 433,17 RUB</t>
  </si>
  <si>
    <t>Айдаркул Курбанбек</t>
  </si>
  <si>
    <t>Амблиопия обскурационная высокая</t>
  </si>
  <si>
    <t>Koc Universitesi</t>
  </si>
  <si>
    <t>8 500 USD</t>
  </si>
  <si>
    <t>11.04.2019г.</t>
  </si>
  <si>
    <t>Экономический лицей г. Нур-Султан</t>
  </si>
  <si>
    <t>ПДЖ, в т.ч. -         250 000 тг. частный спонсор</t>
  </si>
  <si>
    <t>ПДЖ, в т.ч. -            254 420 тг. частный спонсор</t>
  </si>
  <si>
    <t>152 200 RUB</t>
  </si>
  <si>
    <t>17.04.2019г.</t>
  </si>
  <si>
    <t>Артыкбаева Аружан</t>
  </si>
  <si>
    <t>ТОО "Maksat Med"</t>
  </si>
  <si>
    <t>153 700 KZT</t>
  </si>
  <si>
    <t>10.04.2019г.</t>
  </si>
  <si>
    <t>Линейный невус</t>
  </si>
  <si>
    <t>Адилжанулы Амирхан</t>
  </si>
  <si>
    <t>УФК по г.Москве, ОСП РДКБ</t>
  </si>
  <si>
    <t>Дегтяренко Егор</t>
  </si>
  <si>
    <t>ВПС, единственный двуприточный левый желудочек</t>
  </si>
  <si>
    <t>УФК по Новосибирской обл. ФГБУ НМИЦ им.академика Е.Н.Мешалкина МЗ России</t>
  </si>
  <si>
    <t>124 600 RUB</t>
  </si>
  <si>
    <t>22.04.2019г.</t>
  </si>
  <si>
    <t>Абдрахман Алихан</t>
  </si>
  <si>
    <t>24.04.2019г.</t>
  </si>
  <si>
    <t>Панцакова Вероника</t>
  </si>
  <si>
    <t>25.04.2019г.</t>
  </si>
  <si>
    <t>29.04.2019г.</t>
  </si>
  <si>
    <t>26.04.2019г.</t>
  </si>
  <si>
    <t>Жиенбай Бекнур</t>
  </si>
  <si>
    <t>122 670,17 RUB</t>
  </si>
  <si>
    <t>Серикбек Раяна</t>
  </si>
  <si>
    <t>116 046,17 RUB</t>
  </si>
  <si>
    <t>124 858,84 RUB</t>
  </si>
  <si>
    <t>Турсын Ислам</t>
  </si>
  <si>
    <t>125 643,84 RUB</t>
  </si>
  <si>
    <t>Жура Толганай</t>
  </si>
  <si>
    <t>126 627,84 RUB</t>
  </si>
  <si>
    <t>123 691,84 RUB</t>
  </si>
  <si>
    <t>ВПС, АВСД несбалансированный тип</t>
  </si>
  <si>
    <t>262 191 RUB</t>
  </si>
  <si>
    <t>Жумабаева Шугыла</t>
  </si>
  <si>
    <t>35 000 RUB</t>
  </si>
  <si>
    <t>30.04.2019г.</t>
  </si>
  <si>
    <t>LEE JONG GIL Unicompas Co LTD Seoul</t>
  </si>
  <si>
    <t>08.05.2019г.</t>
  </si>
  <si>
    <t>Кали Айдана</t>
  </si>
  <si>
    <t xml:space="preserve">Ювенильный папилломатоз гортани(подсвязачного пространства),рецедивирующего течение,рубцовый стеноз </t>
  </si>
  <si>
    <t>13.05.2019г.</t>
  </si>
  <si>
    <t>Сериков Султан</t>
  </si>
  <si>
    <t>Серикова Нурия</t>
  </si>
  <si>
    <t>119 650 KZT</t>
  </si>
  <si>
    <t>291 785 RUB</t>
  </si>
  <si>
    <t xml:space="preserve">ПДЖ, в т.ч. -               300 000 тг.  ТОО «Skills academy» </t>
  </si>
  <si>
    <t>ПДЖ, в т.ч. -           100 000 тг. ТОО " Winncom Technolodies"</t>
  </si>
  <si>
    <t>Обухов Ярослав</t>
  </si>
  <si>
    <t>120 100 KZT</t>
  </si>
  <si>
    <t>14.05.2019г.</t>
  </si>
  <si>
    <t>Ислам Азиза</t>
  </si>
  <si>
    <t>Серикова Жулдыз</t>
  </si>
  <si>
    <t>Трансплантация сердца, форс-мажор в клинике, операция по удалению аппендикса</t>
  </si>
  <si>
    <t>Fortis Hospitals.Ltd.</t>
  </si>
  <si>
    <t>5 400 USD</t>
  </si>
  <si>
    <t>52 850 RUB</t>
  </si>
  <si>
    <t>16.05.2019г.</t>
  </si>
  <si>
    <t>20.05.2019г.</t>
  </si>
  <si>
    <t>Мартынова Лейла</t>
  </si>
  <si>
    <t>БЛД, тяжелой степени, кислородозависимая, трахеобронхомаляция, высокая легочная гипертензия, генетика</t>
  </si>
  <si>
    <t>29 990 RUB</t>
  </si>
  <si>
    <t>Абай Нурислам</t>
  </si>
  <si>
    <t>Бинокулярая ретинобластома</t>
  </si>
  <si>
    <t>1 320 USD</t>
  </si>
  <si>
    <t>Понеполяк Михаил</t>
  </si>
  <si>
    <t>Дисторофический рецессивный буллезный эпидермолиз,стеноз пищевода,рубцовый фимоз</t>
  </si>
  <si>
    <t>92 960 RUB</t>
  </si>
  <si>
    <t>22.05.2019г.</t>
  </si>
  <si>
    <t>Бурдакова Виктория</t>
  </si>
  <si>
    <t>Распространенная склеродермия</t>
  </si>
  <si>
    <t xml:space="preserve">УФК по г.Санкт-Петербургу (ФГБОУ ВО СПбГПМУ МЗ России) </t>
  </si>
  <si>
    <t>85 320 RUB</t>
  </si>
  <si>
    <t>24.05.2019г.</t>
  </si>
  <si>
    <t>Акадил Жанали</t>
  </si>
  <si>
    <t>103 700 KZT</t>
  </si>
  <si>
    <t>Тохтахунов Исмаил</t>
  </si>
  <si>
    <t>Лимфома/лейкоз Беркитта</t>
  </si>
  <si>
    <t>6 400 USD</t>
  </si>
  <si>
    <t>28.05.2019г.</t>
  </si>
  <si>
    <t>Туркменбай Ержан</t>
  </si>
  <si>
    <t>Травматическое повреждение правого и левого плечевого спленения</t>
  </si>
  <si>
    <t>ООО Международный институт функциональной реконструктивной микрохирургии</t>
  </si>
  <si>
    <t>Лимфедема,липоматоз,гигантиз правой нижней конечности</t>
  </si>
  <si>
    <t>70 000 RUB</t>
  </si>
  <si>
    <t>131 500 RUB</t>
  </si>
  <si>
    <t>315 487 RUB</t>
  </si>
  <si>
    <t>Данияров Таир</t>
  </si>
  <si>
    <t>Правосторонний спастический гемипарез,селективная дорзальная ризотомия</t>
  </si>
  <si>
    <t>ТОО BURC MEDICAL (БУРЧ МЕДИКАЛ)</t>
  </si>
  <si>
    <t>750 000 KZT</t>
  </si>
  <si>
    <t>Ержанулы Таир</t>
  </si>
  <si>
    <t>Левосторонний спастический гемипарез,селективная дорзальная ризотомия </t>
  </si>
  <si>
    <t>Марат Каусар</t>
  </si>
  <si>
    <t>ВПР носовых ходов(атрезия)ВПР гортани </t>
  </si>
  <si>
    <t>Бериккызы Жансезим</t>
  </si>
  <si>
    <t>Спастический тетрапарез тяжелой степени,селективная дорзальная ризотомия </t>
  </si>
  <si>
    <t>Жаксынбек Алихан</t>
  </si>
  <si>
    <t>Спастическая диплегия,селективная дорзальная ризотомия</t>
  </si>
  <si>
    <t>205 489 KZT</t>
  </si>
  <si>
    <t>19.03.2019г.</t>
  </si>
  <si>
    <t>Борашова Асель</t>
  </si>
  <si>
    <t>Лимфоаденопатия,лимфостаз мягких тканей</t>
  </si>
  <si>
    <t>1 549 672 KZT</t>
  </si>
  <si>
    <t>Штельман Милания</t>
  </si>
  <si>
    <t>Врожденная ангиодисплазия, гемангиолимфоангиома правой голени</t>
  </si>
  <si>
    <t>436 600 KZT</t>
  </si>
  <si>
    <t>467 130 KZT</t>
  </si>
  <si>
    <t>Кенжетай Бакдаулет</t>
  </si>
  <si>
    <t>Артериовенозная мальформация левой нижней конечности</t>
  </si>
  <si>
    <t>700 000 KZT</t>
  </si>
  <si>
    <t>721 199 KZT</t>
  </si>
  <si>
    <t>Тямакова Полина</t>
  </si>
  <si>
    <t>ММПР передней брюшной стенки и органов мочеполовой системы,ХБП 3ст,омфалоцеле</t>
  </si>
  <si>
    <t>ТОО Учебно-клинический центр Астана</t>
  </si>
  <si>
    <t>1 368 000 KZT</t>
  </si>
  <si>
    <t>Семененко Иван</t>
  </si>
  <si>
    <t>Гопоспадия стволовая форма, операция Бракка</t>
  </si>
  <si>
    <t>Тасболат Темирлан</t>
  </si>
  <si>
    <t>Гипоспадия стволовая форма,свищ</t>
  </si>
  <si>
    <t>Елеусиз Абдур Рахман</t>
  </si>
  <si>
    <t>Гипоспадия венозная форма, свищ</t>
  </si>
  <si>
    <t>Ергазыулы Расул</t>
  </si>
  <si>
    <t>Ерсайын Санжар</t>
  </si>
  <si>
    <t>23 547,00 RUB</t>
  </si>
  <si>
    <t>Жангабай Акерке</t>
  </si>
  <si>
    <t>15 066,00 RUB</t>
  </si>
  <si>
    <t>174 100 RUB</t>
  </si>
  <si>
    <t>29.05.2019г.</t>
  </si>
  <si>
    <t>Сисенбай Нариман</t>
  </si>
  <si>
    <t>111 754,17 RUB</t>
  </si>
  <si>
    <t>30.05.2019г.</t>
  </si>
  <si>
    <t>Попова Валерия</t>
  </si>
  <si>
    <t>Атрофия дисков зрительных нервов</t>
  </si>
  <si>
    <t>63 600,00 RUB</t>
  </si>
  <si>
    <t>ООО Академик</t>
  </si>
  <si>
    <t>19 800 USD</t>
  </si>
  <si>
    <t>247 850 RUB</t>
  </si>
  <si>
    <t>399 117 RUB</t>
  </si>
  <si>
    <t>ПДЖ, в т.ч.  -      42 000 тг.  Компания "Студия - 33 - Территория отдыха и развития"</t>
  </si>
  <si>
    <t>Федосов Артем</t>
  </si>
  <si>
    <t>636 332,24 KZT</t>
  </si>
  <si>
    <t>05.06.2019г.</t>
  </si>
  <si>
    <t>Другая вторичная гипертензия,аномалия развития сосудов почек</t>
  </si>
  <si>
    <t>ГБУЗ Морозовская ДГКБ ДЗМ г.Москва</t>
  </si>
  <si>
    <t>72 500,00 RUB</t>
  </si>
  <si>
    <t>04.06.2019г.</t>
  </si>
  <si>
    <t>Коптлеу Ернур</t>
  </si>
  <si>
    <t>Ретинобластома справа</t>
  </si>
  <si>
    <t>УФК по г.Москве, ФГБУ НМИЦ онкологии им.Н.Н.Блохина</t>
  </si>
  <si>
    <t>162 191,00 RUB</t>
  </si>
  <si>
    <t>Атабай Айгерим</t>
  </si>
  <si>
    <t>Врожденная дисфункция коры надпочечников </t>
  </si>
  <si>
    <t>33 690,00 RUB</t>
  </si>
  <si>
    <t>10.06.2019г.</t>
  </si>
  <si>
    <t>ДБ АО «Сбербанк»</t>
  </si>
  <si>
    <t>ПДЖ, в т.ч. -            263 071 тг.            ДБ АО "Сбербанк"</t>
  </si>
  <si>
    <t>Рябченко Мария</t>
  </si>
  <si>
    <t>Фокальная кортикальная дисплазия теменой доли слева.Эпилептогенные очаги</t>
  </si>
  <si>
    <t>306 100,00 RUB</t>
  </si>
  <si>
    <t>11.06.2019г.</t>
  </si>
  <si>
    <t>Хисамутдинова Янина</t>
  </si>
  <si>
    <t>Обширный линейный невус</t>
  </si>
  <si>
    <t>Hadassah Medical Organization</t>
  </si>
  <si>
    <t>12.06.2019г.</t>
  </si>
  <si>
    <t>2019, 7 операция</t>
  </si>
  <si>
    <t>28 763,00 RUB</t>
  </si>
  <si>
    <t>14.06.2019г.</t>
  </si>
  <si>
    <t>87 985,00 RUB</t>
  </si>
  <si>
    <t>Козлов Марк</t>
  </si>
  <si>
    <t>2019, 8 курс/леч.</t>
  </si>
  <si>
    <t>105 100 KZT</t>
  </si>
  <si>
    <t>18.06.2019г.</t>
  </si>
  <si>
    <t>о перечисленных средствах за лечение детей на 19.06.2019</t>
  </si>
  <si>
    <t>609 616 KZT</t>
  </si>
  <si>
    <t>ПДЖ, в т.ч. -          171 270 тг. Академия им. Т.Жургенева,        200 000 тг.  ТОО "Кузница Рекламы",                300 000 тг.  частный спонсор</t>
  </si>
  <si>
    <t xml:space="preserve">ПДЖ, в т.ч. -            300 000 тг. ТОО «Skills academy» </t>
  </si>
  <si>
    <t>ПДЖ, в т.ч. -          1 500 000 тг. ТОО "ВТЦ Тяжпрессмаш"</t>
  </si>
  <si>
    <t xml:space="preserve">ПДЖ, в т.ч. -            530 000 тг. ТОО «Green Land Alatau» </t>
  </si>
  <si>
    <t xml:space="preserve">ПДЖ, в т.ч. -            50 000 тг. ТОО "Antarium Group"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</si>
</sst>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4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/>
    <xf numFmtId="0" fontId="3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right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4" fontId="3" fillId="8" borderId="9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3" fillId="4" borderId="7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vertical="top"/>
    </xf>
    <xf numFmtId="0" fontId="5" fillId="7" borderId="0" xfId="0" applyFont="1" applyFill="1" applyBorder="1" applyAlignment="1">
      <alignment horizontal="left" vertical="top" wrapText="1"/>
    </xf>
    <xf numFmtId="3" fontId="5" fillId="7" borderId="0" xfId="0" applyNumberFormat="1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164" fontId="0" fillId="5" borderId="0" xfId="0" applyNumberFormat="1" applyFill="1"/>
    <xf numFmtId="164" fontId="0" fillId="0" borderId="0" xfId="0" applyNumberFormat="1" applyFill="1"/>
    <xf numFmtId="164" fontId="0" fillId="5" borderId="0" xfId="0" applyNumberForma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top" wrapText="1"/>
    </xf>
    <xf numFmtId="0" fontId="0" fillId="5" borderId="0" xfId="0" applyFill="1" applyAlignment="1"/>
    <xf numFmtId="14" fontId="3" fillId="5" borderId="7" xfId="0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4" borderId="7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3" fontId="3" fillId="9" borderId="0" xfId="0" applyNumberFormat="1" applyFont="1" applyFill="1" applyBorder="1" applyAlignment="1">
      <alignment vertical="top"/>
    </xf>
    <xf numFmtId="3" fontId="3" fillId="3" borderId="16" xfId="0" applyNumberFormat="1" applyFont="1" applyFill="1" applyBorder="1" applyAlignment="1">
      <alignment vertical="top"/>
    </xf>
    <xf numFmtId="0" fontId="3" fillId="4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3" fontId="3" fillId="5" borderId="9" xfId="0" applyNumberFormat="1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14" fontId="3" fillId="5" borderId="9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3" fontId="3" fillId="5" borderId="7" xfId="0" applyNumberFormat="1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 wrapText="1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164" fontId="0" fillId="5" borderId="0" xfId="0" applyNumberFormat="1" applyFill="1" applyAlignment="1">
      <alignment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4"/>
  <sheetViews>
    <sheetView tabSelected="1" topLeftCell="A13" zoomScale="85" zoomScaleNormal="85" workbookViewId="0">
      <selection activeCell="F25" sqref="F25"/>
    </sheetView>
  </sheetViews>
  <sheetFormatPr defaultRowHeight="12.75" x14ac:dyDescent="0.2"/>
  <cols>
    <col min="1" max="1" width="4.85546875" style="1" customWidth="1"/>
    <col min="2" max="2" width="17.5703125" style="2" customWidth="1"/>
    <col min="3" max="3" width="5.140625" style="3" customWidth="1"/>
    <col min="4" max="4" width="18.42578125" style="3" customWidth="1"/>
    <col min="5" max="5" width="9.28515625" style="3" customWidth="1"/>
    <col min="6" max="6" width="20.85546875" style="3" customWidth="1"/>
    <col min="7" max="7" width="14.28515625" style="4" customWidth="1"/>
    <col min="8" max="8" width="16" style="14" customWidth="1"/>
    <col min="9" max="9" width="3.85546875" style="5" customWidth="1"/>
    <col min="10" max="10" width="5" style="5" customWidth="1"/>
    <col min="11" max="11" width="7.28515625" style="6" customWidth="1"/>
    <col min="12" max="12" width="12" style="6" customWidth="1"/>
    <col min="13" max="13" width="11" style="7" customWidth="1"/>
    <col min="14" max="14" width="15.5703125" style="8" customWidth="1"/>
    <col min="15" max="15" width="10.7109375" style="8" bestFit="1" customWidth="1"/>
    <col min="16" max="16" width="9.140625" style="8"/>
  </cols>
  <sheetData>
    <row r="1" spans="1:16" ht="24.75" customHeight="1" x14ac:dyDescent="0.2">
      <c r="B1" s="392" t="s">
        <v>0</v>
      </c>
      <c r="C1" s="392"/>
      <c r="D1" s="392"/>
      <c r="E1" s="392"/>
      <c r="F1" s="392"/>
      <c r="G1" s="392"/>
      <c r="H1" s="9"/>
    </row>
    <row r="2" spans="1:16" ht="18.75" customHeight="1" x14ac:dyDescent="0.2">
      <c r="B2" s="392" t="s">
        <v>485</v>
      </c>
      <c r="C2" s="392"/>
      <c r="D2" s="392"/>
      <c r="E2" s="392"/>
      <c r="F2" s="392"/>
      <c r="G2" s="392"/>
      <c r="H2" s="9"/>
    </row>
    <row r="3" spans="1:16" ht="18.75" customHeight="1" x14ac:dyDescent="0.2">
      <c r="B3" s="45"/>
      <c r="C3" s="45"/>
      <c r="D3" s="45"/>
      <c r="E3" s="45"/>
      <c r="F3" s="45"/>
      <c r="G3" s="45"/>
      <c r="H3" s="9"/>
    </row>
    <row r="4" spans="1:16" ht="216.75" customHeight="1" x14ac:dyDescent="0.2">
      <c r="B4" s="395" t="s">
        <v>21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6" ht="6.75" customHeight="1" x14ac:dyDescent="0.2">
      <c r="B5" s="9"/>
      <c r="C5" s="9"/>
      <c r="D5" s="9"/>
      <c r="E5" s="9"/>
      <c r="F5" s="9"/>
      <c r="G5" s="10"/>
    </row>
    <row r="6" spans="1:16" ht="175.5" customHeight="1" x14ac:dyDescent="0.2">
      <c r="A6" s="16"/>
      <c r="B6" s="46"/>
      <c r="C6" s="46"/>
      <c r="D6" s="46" t="s">
        <v>1</v>
      </c>
      <c r="E6" s="46" t="s">
        <v>18</v>
      </c>
      <c r="F6" s="63" t="s">
        <v>12</v>
      </c>
      <c r="G6" s="46"/>
      <c r="H6"/>
      <c r="I6"/>
      <c r="J6"/>
      <c r="K6"/>
      <c r="L6"/>
      <c r="M6"/>
      <c r="N6"/>
      <c r="O6"/>
      <c r="P6"/>
    </row>
    <row r="7" spans="1:16" s="12" customFormat="1" ht="18.75" customHeight="1" x14ac:dyDescent="0.2">
      <c r="A7" s="15"/>
      <c r="B7" s="47">
        <v>2007</v>
      </c>
      <c r="C7" s="48"/>
      <c r="D7" s="47">
        <v>9</v>
      </c>
      <c r="E7" s="47">
        <v>11</v>
      </c>
      <c r="F7" s="49">
        <v>19264780</v>
      </c>
      <c r="G7" s="50"/>
    </row>
    <row r="8" spans="1:16" s="12" customFormat="1" ht="18.75" customHeight="1" x14ac:dyDescent="0.2">
      <c r="A8" s="15"/>
      <c r="B8" s="47">
        <v>2008</v>
      </c>
      <c r="C8" s="48"/>
      <c r="D8" s="47">
        <v>44</v>
      </c>
      <c r="E8" s="47">
        <v>45</v>
      </c>
      <c r="F8" s="49">
        <v>40719198</v>
      </c>
      <c r="G8" s="50"/>
    </row>
    <row r="9" spans="1:16" s="12" customFormat="1" ht="18.75" customHeight="1" x14ac:dyDescent="0.2">
      <c r="A9" s="15"/>
      <c r="B9" s="47">
        <v>2009</v>
      </c>
      <c r="C9" s="47"/>
      <c r="D9" s="47">
        <v>56</v>
      </c>
      <c r="E9" s="47">
        <v>58</v>
      </c>
      <c r="F9" s="49">
        <v>47911534</v>
      </c>
      <c r="G9" s="50"/>
    </row>
    <row r="10" spans="1:16" s="12" customFormat="1" ht="18.75" customHeight="1" x14ac:dyDescent="0.2">
      <c r="A10" s="15"/>
      <c r="B10" s="47">
        <v>2010</v>
      </c>
      <c r="C10" s="47"/>
      <c r="D10" s="47">
        <v>111</v>
      </c>
      <c r="E10" s="47">
        <v>117</v>
      </c>
      <c r="F10" s="51">
        <v>105713912</v>
      </c>
      <c r="G10" s="50"/>
    </row>
    <row r="11" spans="1:16" s="12" customFormat="1" ht="18.75" customHeight="1" x14ac:dyDescent="0.2">
      <c r="A11" s="15"/>
      <c r="B11" s="47">
        <v>2011</v>
      </c>
      <c r="C11" s="47"/>
      <c r="D11" s="47">
        <v>50</v>
      </c>
      <c r="E11" s="47">
        <v>66</v>
      </c>
      <c r="F11" s="49">
        <v>70729871</v>
      </c>
      <c r="G11" s="50"/>
    </row>
    <row r="12" spans="1:16" s="12" customFormat="1" ht="18.75" customHeight="1" x14ac:dyDescent="0.2">
      <c r="A12" s="15"/>
      <c r="B12" s="47">
        <v>2012</v>
      </c>
      <c r="C12" s="47"/>
      <c r="D12" s="47">
        <v>38</v>
      </c>
      <c r="E12" s="47">
        <v>58</v>
      </c>
      <c r="F12" s="49">
        <v>73901898</v>
      </c>
      <c r="G12" s="50"/>
    </row>
    <row r="13" spans="1:16" s="12" customFormat="1" ht="18.75" customHeight="1" x14ac:dyDescent="0.2">
      <c r="A13" s="15"/>
      <c r="B13" s="47">
        <v>2013</v>
      </c>
      <c r="C13" s="47"/>
      <c r="D13" s="47">
        <v>337</v>
      </c>
      <c r="E13" s="47">
        <v>465</v>
      </c>
      <c r="F13" s="49">
        <v>396657790</v>
      </c>
      <c r="G13" s="50"/>
    </row>
    <row r="14" spans="1:16" s="12" customFormat="1" ht="18.75" customHeight="1" x14ac:dyDescent="0.2">
      <c r="A14" s="15"/>
      <c r="B14" s="47">
        <v>2014</v>
      </c>
      <c r="C14" s="47"/>
      <c r="D14" s="47">
        <v>299</v>
      </c>
      <c r="E14" s="49">
        <v>540</v>
      </c>
      <c r="F14" s="49">
        <v>588073529</v>
      </c>
      <c r="G14" s="50"/>
    </row>
    <row r="15" spans="1:16" s="12" customFormat="1" ht="18.75" customHeight="1" x14ac:dyDescent="0.2">
      <c r="A15" s="15"/>
      <c r="B15" s="47">
        <v>2015</v>
      </c>
      <c r="C15" s="47"/>
      <c r="D15" s="61">
        <v>368</v>
      </c>
      <c r="E15" s="62">
        <v>466</v>
      </c>
      <c r="F15" s="62">
        <v>487010099</v>
      </c>
      <c r="G15" s="50"/>
    </row>
    <row r="16" spans="1:16" s="12" customFormat="1" ht="18.75" customHeight="1" x14ac:dyDescent="0.2">
      <c r="A16" s="15"/>
      <c r="B16" s="61">
        <v>2016</v>
      </c>
      <c r="C16" s="61"/>
      <c r="D16" s="61">
        <v>74</v>
      </c>
      <c r="E16" s="62">
        <f>2+5+16+8+4+1+2+1+3+7+4+1+8+6+6+12+13+1+2+6+3+3+3+5+1+4+4+5+11+6+2+3</f>
        <v>158</v>
      </c>
      <c r="F16" s="62">
        <v>312962053</v>
      </c>
      <c r="G16" s="50"/>
    </row>
    <row r="17" spans="1:31" s="78" customFormat="1" ht="18.75" customHeight="1" x14ac:dyDescent="0.2">
      <c r="A17" s="76"/>
      <c r="B17" s="61">
        <v>2017</v>
      </c>
      <c r="C17" s="61"/>
      <c r="D17" s="61">
        <f>4+3+1+3+1+2+2+5+15+4+3+5+5+1+1+1+5+1+4+2+3+3+3+2+1+5+3+1+1+1+3+1+3</f>
        <v>98</v>
      </c>
      <c r="E17" s="62">
        <f>9+5+2+3+6+3+5+5+20+10+10+7+7+2+5+3+8+2+3+7+5+6+4+6+2+4+10+5+1+2+2+5+3+5+4</f>
        <v>186</v>
      </c>
      <c r="F17" s="62">
        <v>511748446</v>
      </c>
      <c r="G17" s="77"/>
    </row>
    <row r="18" spans="1:31" s="11" customFormat="1" ht="18.75" customHeight="1" x14ac:dyDescent="0.2">
      <c r="A18" s="76"/>
      <c r="B18" s="61">
        <v>2018</v>
      </c>
      <c r="C18" s="61"/>
      <c r="D18" s="61">
        <f>3+2+4+7+4+4+2+2+2+4+1+3+2+2+4+2+2+3-1+3+2+5+2+2+5+4+3+1+4+1+4+2+8+1+1</f>
        <v>100</v>
      </c>
      <c r="E18" s="62">
        <f>5+5+6+5+8+8+2+5+9+7+3+3+7+5+1+7+6+5+6+1+4+5-1+10+6+6+2+5+2+8+1+7+3+1+6+3+1+8+3+13+1+1+1</f>
        <v>200</v>
      </c>
      <c r="F18" s="62">
        <v>422501655</v>
      </c>
      <c r="G18" s="54"/>
    </row>
    <row r="19" spans="1:31" s="11" customFormat="1" ht="18.75" customHeight="1" x14ac:dyDescent="0.2">
      <c r="A19" s="68"/>
      <c r="B19" s="69">
        <v>2019</v>
      </c>
      <c r="C19" s="69"/>
      <c r="D19" s="69">
        <f>1+2+2+3+5+3+1+4+2+1+6+6+1+1+4+1+2+4+4+12+1+2</f>
        <v>68</v>
      </c>
      <c r="E19" s="70">
        <f>5+3+3+6+10+3+1+7+3+6+7+7+4+3+6+1+4+6+5+14+5+3+5</f>
        <v>117</v>
      </c>
      <c r="F19" s="70">
        <f>L191</f>
        <v>201285236.71285495</v>
      </c>
      <c r="G19" s="54"/>
    </row>
    <row r="20" spans="1:31" s="11" customFormat="1" ht="26.25" customHeight="1" x14ac:dyDescent="0.2">
      <c r="A20" s="17"/>
      <c r="B20" s="393" t="s">
        <v>34</v>
      </c>
      <c r="C20" s="393"/>
      <c r="D20" s="52">
        <f>SUM(D7:D19)</f>
        <v>1652</v>
      </c>
      <c r="E20" s="52">
        <f>SUM(E7:E19)</f>
        <v>2487</v>
      </c>
      <c r="F20" s="53">
        <f>SUM(F7:F19)</f>
        <v>3278480001.7128549</v>
      </c>
      <c r="G20" s="54"/>
    </row>
    <row r="21" spans="1:31" s="11" customFormat="1" ht="27" customHeight="1" x14ac:dyDescent="0.2">
      <c r="A21" s="17"/>
      <c r="B21" s="394" t="s">
        <v>17</v>
      </c>
      <c r="C21" s="394"/>
      <c r="D21" s="55">
        <v>29</v>
      </c>
      <c r="E21" s="55">
        <v>30</v>
      </c>
      <c r="F21" s="51">
        <v>26996403</v>
      </c>
      <c r="G21" s="54"/>
    </row>
    <row r="22" spans="1:31" s="11" customFormat="1" ht="39.75" customHeight="1" x14ac:dyDescent="0.2">
      <c r="A22" s="17"/>
      <c r="B22" s="394" t="s">
        <v>15</v>
      </c>
      <c r="C22" s="394"/>
      <c r="D22" s="55">
        <v>9</v>
      </c>
      <c r="E22" s="55">
        <v>9</v>
      </c>
      <c r="F22" s="51">
        <v>4177350</v>
      </c>
      <c r="G22" s="54"/>
    </row>
    <row r="23" spans="1:31" s="11" customFormat="1" ht="28.5" customHeight="1" x14ac:dyDescent="0.2">
      <c r="A23" s="17"/>
      <c r="B23" s="394" t="s">
        <v>16</v>
      </c>
      <c r="C23" s="394"/>
      <c r="D23" s="55">
        <v>20</v>
      </c>
      <c r="E23" s="55">
        <v>21</v>
      </c>
      <c r="F23" s="51">
        <v>7731150</v>
      </c>
      <c r="G23" s="54"/>
    </row>
    <row r="24" spans="1:31" s="12" customFormat="1" ht="64.5" customHeight="1" x14ac:dyDescent="0.2">
      <c r="A24" s="15"/>
      <c r="B24" s="401" t="s">
        <v>20</v>
      </c>
      <c r="C24" s="401"/>
      <c r="D24" s="47">
        <v>20</v>
      </c>
      <c r="E24" s="49">
        <v>20</v>
      </c>
      <c r="F24" s="56"/>
      <c r="G24" s="50"/>
    </row>
    <row r="25" spans="1:31" s="12" customFormat="1" ht="52.5" customHeight="1" x14ac:dyDescent="0.2">
      <c r="A25" s="18"/>
      <c r="B25" s="396" t="s">
        <v>33</v>
      </c>
      <c r="C25" s="396"/>
      <c r="D25" s="46">
        <f>SUM(D20:D24)</f>
        <v>1730</v>
      </c>
      <c r="E25" s="57">
        <f>SUM(E20:E24)</f>
        <v>2567</v>
      </c>
      <c r="F25" s="57">
        <f>SUM(F20:F24)</f>
        <v>3317384904.7128549</v>
      </c>
      <c r="G25" s="58"/>
    </row>
    <row r="26" spans="1:31" s="12" customFormat="1" ht="27" customHeight="1" x14ac:dyDescent="0.2">
      <c r="A26" s="17"/>
      <c r="B26" s="55" t="s">
        <v>10</v>
      </c>
      <c r="C26" s="55"/>
      <c r="D26" s="55">
        <f>13</f>
        <v>13</v>
      </c>
      <c r="E26" s="49">
        <v>13</v>
      </c>
      <c r="F26" s="51">
        <f>78500*150</f>
        <v>11775000</v>
      </c>
      <c r="G26" s="357"/>
    </row>
    <row r="27" spans="1:31" s="12" customFormat="1" ht="18" customHeight="1" x14ac:dyDescent="0.2">
      <c r="A27" s="17"/>
      <c r="B27" s="52" t="s">
        <v>11</v>
      </c>
      <c r="C27" s="52"/>
      <c r="D27" s="52">
        <f>D26+D25</f>
        <v>1743</v>
      </c>
      <c r="E27" s="53">
        <f>SUM(E25+E26)</f>
        <v>2580</v>
      </c>
      <c r="F27" s="59"/>
      <c r="G27" s="59"/>
    </row>
    <row r="28" spans="1:31" ht="18.75" customHeight="1" x14ac:dyDescent="0.2">
      <c r="B28" s="9"/>
      <c r="C28" s="9"/>
      <c r="D28" s="9"/>
      <c r="E28" s="9"/>
      <c r="F28" s="9"/>
      <c r="G28" s="10"/>
    </row>
    <row r="29" spans="1:31" ht="103.5" customHeight="1" x14ac:dyDescent="0.2">
      <c r="A29" s="23"/>
      <c r="B29" s="24" t="s">
        <v>2</v>
      </c>
      <c r="C29" s="25" t="s">
        <v>3</v>
      </c>
      <c r="D29" s="25" t="s">
        <v>4</v>
      </c>
      <c r="E29" s="25" t="s">
        <v>5</v>
      </c>
      <c r="F29" s="25" t="s">
        <v>6</v>
      </c>
      <c r="G29" s="25" t="s">
        <v>19</v>
      </c>
      <c r="H29" s="25" t="s">
        <v>7</v>
      </c>
      <c r="I29" s="26" t="s">
        <v>39</v>
      </c>
      <c r="J29" s="26" t="s">
        <v>40</v>
      </c>
      <c r="K29" s="25" t="s">
        <v>8</v>
      </c>
      <c r="L29" s="25" t="s">
        <v>14</v>
      </c>
      <c r="M29" s="25" t="s">
        <v>9</v>
      </c>
    </row>
    <row r="30" spans="1:31" s="13" customFormat="1" ht="23.25" customHeight="1" x14ac:dyDescent="0.2">
      <c r="A30" s="27"/>
      <c r="B30" s="28">
        <v>2019</v>
      </c>
      <c r="C30" s="29"/>
      <c r="D30" s="29"/>
      <c r="E30" s="30"/>
      <c r="F30" s="29"/>
      <c r="G30" s="31"/>
      <c r="H30" s="32"/>
      <c r="I30" s="33"/>
      <c r="J30" s="33"/>
      <c r="K30" s="34"/>
      <c r="L30" s="34"/>
      <c r="M30" s="35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22" customFormat="1" ht="29.25" customHeight="1" x14ac:dyDescent="0.2">
      <c r="A31" s="138">
        <v>1676</v>
      </c>
      <c r="B31" s="164" t="s">
        <v>36</v>
      </c>
      <c r="C31" s="164">
        <v>2014</v>
      </c>
      <c r="D31" s="165" t="s">
        <v>25</v>
      </c>
      <c r="E31" s="164">
        <v>2019</v>
      </c>
      <c r="F31" s="164" t="s">
        <v>37</v>
      </c>
      <c r="G31" s="91" t="s">
        <v>38</v>
      </c>
      <c r="H31" s="166" t="s">
        <v>53</v>
      </c>
      <c r="I31" s="140">
        <v>1</v>
      </c>
      <c r="J31" s="140">
        <v>2464</v>
      </c>
      <c r="K31" s="106">
        <v>375.01</v>
      </c>
      <c r="L31" s="107">
        <f>1334*K31</f>
        <v>500263.33999999997</v>
      </c>
      <c r="M31" s="79" t="s">
        <v>41</v>
      </c>
      <c r="N31" s="72"/>
    </row>
    <row r="32" spans="1:31" s="22" customFormat="1" ht="40.5" customHeight="1" x14ac:dyDescent="0.2">
      <c r="A32" s="138"/>
      <c r="B32" s="354" t="s">
        <v>43</v>
      </c>
      <c r="C32" s="125">
        <v>2001</v>
      </c>
      <c r="D32" s="111" t="s">
        <v>42</v>
      </c>
      <c r="E32" s="125" t="s">
        <v>45</v>
      </c>
      <c r="F32" s="156" t="s">
        <v>26</v>
      </c>
      <c r="G32" s="91" t="s">
        <v>24</v>
      </c>
      <c r="H32" s="139" t="s">
        <v>174</v>
      </c>
      <c r="I32" s="140">
        <v>2</v>
      </c>
      <c r="J32" s="140">
        <v>2465</v>
      </c>
      <c r="K32" s="94">
        <v>358.72</v>
      </c>
      <c r="L32" s="95">
        <f>7000*K32</f>
        <v>2511040</v>
      </c>
      <c r="M32" s="79" t="s">
        <v>44</v>
      </c>
      <c r="N32" s="72"/>
    </row>
    <row r="33" spans="1:14" s="22" customFormat="1" ht="63" customHeight="1" x14ac:dyDescent="0.2">
      <c r="A33" s="100"/>
      <c r="B33" s="101" t="s">
        <v>27</v>
      </c>
      <c r="C33" s="101">
        <v>2014</v>
      </c>
      <c r="D33" s="102" t="s">
        <v>28</v>
      </c>
      <c r="E33" s="101" t="s">
        <v>46</v>
      </c>
      <c r="F33" s="101" t="s">
        <v>23</v>
      </c>
      <c r="G33" s="103" t="s">
        <v>47</v>
      </c>
      <c r="H33" s="104" t="s">
        <v>67</v>
      </c>
      <c r="I33" s="105">
        <v>3</v>
      </c>
      <c r="J33" s="105">
        <v>2466</v>
      </c>
      <c r="K33" s="106">
        <v>5.7141000000000002</v>
      </c>
      <c r="L33" s="107">
        <f>62307*K33</f>
        <v>356028.42869999999</v>
      </c>
      <c r="M33" s="79" t="s">
        <v>48</v>
      </c>
      <c r="N33" s="72"/>
    </row>
    <row r="34" spans="1:14" s="22" customFormat="1" ht="51" customHeight="1" x14ac:dyDescent="0.2">
      <c r="A34" s="88"/>
      <c r="B34" s="355" t="s">
        <v>29</v>
      </c>
      <c r="C34" s="89">
        <v>2006</v>
      </c>
      <c r="D34" s="347" t="s">
        <v>30</v>
      </c>
      <c r="E34" s="89" t="s">
        <v>52</v>
      </c>
      <c r="F34" s="89" t="s">
        <v>49</v>
      </c>
      <c r="G34" s="91" t="s">
        <v>50</v>
      </c>
      <c r="H34" s="92" t="s">
        <v>13</v>
      </c>
      <c r="I34" s="93">
        <v>4</v>
      </c>
      <c r="J34" s="93">
        <v>2467</v>
      </c>
      <c r="K34" s="94">
        <v>5.7141000000000002</v>
      </c>
      <c r="L34" s="95">
        <f>27940*K34</f>
        <v>159651.954</v>
      </c>
      <c r="M34" s="79" t="s">
        <v>48</v>
      </c>
    </row>
    <row r="35" spans="1:14" s="22" customFormat="1" ht="26.25" customHeight="1" x14ac:dyDescent="0.2">
      <c r="A35" s="374"/>
      <c r="B35" s="364" t="s">
        <v>31</v>
      </c>
      <c r="C35" s="364">
        <v>2016</v>
      </c>
      <c r="D35" s="375" t="s">
        <v>32</v>
      </c>
      <c r="E35" s="364" t="s">
        <v>45</v>
      </c>
      <c r="F35" s="366" t="s">
        <v>22</v>
      </c>
      <c r="G35" s="91" t="s">
        <v>51</v>
      </c>
      <c r="H35" s="397" t="s">
        <v>487</v>
      </c>
      <c r="I35" s="377">
        <v>5</v>
      </c>
      <c r="J35" s="377">
        <v>2468</v>
      </c>
      <c r="K35" s="106">
        <v>358.72</v>
      </c>
      <c r="L35" s="107">
        <f>920*K35</f>
        <v>330022.40000000002</v>
      </c>
      <c r="M35" s="79" t="s">
        <v>48</v>
      </c>
      <c r="N35" s="21"/>
    </row>
    <row r="36" spans="1:14" s="22" customFormat="1" ht="92.25" customHeight="1" x14ac:dyDescent="0.2">
      <c r="A36" s="363"/>
      <c r="B36" s="367"/>
      <c r="C36" s="367"/>
      <c r="D36" s="367"/>
      <c r="E36" s="367"/>
      <c r="F36" s="367"/>
      <c r="G36" s="91" t="s">
        <v>89</v>
      </c>
      <c r="H36" s="371"/>
      <c r="I36" s="373"/>
      <c r="J36" s="373"/>
      <c r="K36" s="106">
        <v>358.72</v>
      </c>
      <c r="L36" s="107">
        <f>1780*K36</f>
        <v>638521.60000000009</v>
      </c>
      <c r="M36" s="79" t="s">
        <v>83</v>
      </c>
      <c r="N36" s="21"/>
    </row>
    <row r="37" spans="1:14" s="22" customFormat="1" ht="72" customHeight="1" x14ac:dyDescent="0.2">
      <c r="A37" s="374"/>
      <c r="B37" s="364" t="s">
        <v>58</v>
      </c>
      <c r="C37" s="364">
        <v>2005</v>
      </c>
      <c r="D37" s="375" t="s">
        <v>59</v>
      </c>
      <c r="E37" s="364" t="s">
        <v>45</v>
      </c>
      <c r="F37" s="366" t="s">
        <v>22</v>
      </c>
      <c r="G37" s="91" t="s">
        <v>60</v>
      </c>
      <c r="H37" s="397" t="s">
        <v>297</v>
      </c>
      <c r="I37" s="377">
        <v>6</v>
      </c>
      <c r="J37" s="377">
        <v>2469</v>
      </c>
      <c r="K37" s="106">
        <v>358.72</v>
      </c>
      <c r="L37" s="107">
        <f>9000*K37</f>
        <v>3228480.0000000005</v>
      </c>
      <c r="M37" s="79" t="s">
        <v>61</v>
      </c>
      <c r="N37" s="21"/>
    </row>
    <row r="38" spans="1:14" s="22" customFormat="1" ht="86.25" customHeight="1" x14ac:dyDescent="0.2">
      <c r="A38" s="391"/>
      <c r="B38" s="365"/>
      <c r="C38" s="365"/>
      <c r="D38" s="376"/>
      <c r="E38" s="365"/>
      <c r="F38" s="367"/>
      <c r="G38" s="91" t="s">
        <v>88</v>
      </c>
      <c r="H38" s="398"/>
      <c r="I38" s="399"/>
      <c r="J38" s="399"/>
      <c r="K38" s="106">
        <v>358.72</v>
      </c>
      <c r="L38" s="107">
        <f>8000*K38</f>
        <v>2869760</v>
      </c>
      <c r="M38" s="79" t="s">
        <v>83</v>
      </c>
      <c r="N38" s="21"/>
    </row>
    <row r="39" spans="1:14" s="22" customFormat="1" ht="18.75" customHeight="1" x14ac:dyDescent="0.2">
      <c r="A39" s="374">
        <v>1677</v>
      </c>
      <c r="B39" s="364" t="s">
        <v>54</v>
      </c>
      <c r="C39" s="364">
        <v>2009</v>
      </c>
      <c r="D39" s="375" t="s">
        <v>395</v>
      </c>
      <c r="E39" s="364">
        <v>2019</v>
      </c>
      <c r="F39" s="366" t="s">
        <v>55</v>
      </c>
      <c r="G39" s="91" t="s">
        <v>56</v>
      </c>
      <c r="H39" s="397" t="s">
        <v>66</v>
      </c>
      <c r="I39" s="377">
        <v>7</v>
      </c>
      <c r="J39" s="377">
        <v>2470</v>
      </c>
      <c r="K39" s="106"/>
      <c r="L39" s="107">
        <v>500000</v>
      </c>
      <c r="M39" s="79" t="s">
        <v>57</v>
      </c>
      <c r="N39" s="21"/>
    </row>
    <row r="40" spans="1:14" s="22" customFormat="1" ht="24" customHeight="1" x14ac:dyDescent="0.2">
      <c r="A40" s="391"/>
      <c r="B40" s="365"/>
      <c r="C40" s="365"/>
      <c r="D40" s="376"/>
      <c r="E40" s="365"/>
      <c r="F40" s="367"/>
      <c r="G40" s="91" t="s">
        <v>486</v>
      </c>
      <c r="H40" s="371"/>
      <c r="I40" s="399"/>
      <c r="J40" s="399"/>
      <c r="K40" s="106"/>
      <c r="L40" s="107">
        <v>609616</v>
      </c>
      <c r="M40" s="79" t="s">
        <v>208</v>
      </c>
      <c r="N40" s="21"/>
    </row>
    <row r="41" spans="1:14" s="22" customFormat="1" ht="88.5" customHeight="1" x14ac:dyDescent="0.2">
      <c r="A41" s="109"/>
      <c r="B41" s="110" t="s">
        <v>69</v>
      </c>
      <c r="C41" s="110">
        <v>2012</v>
      </c>
      <c r="D41" s="111" t="s">
        <v>70</v>
      </c>
      <c r="E41" s="110" t="s">
        <v>71</v>
      </c>
      <c r="F41" s="89" t="s">
        <v>72</v>
      </c>
      <c r="G41" s="91" t="s">
        <v>73</v>
      </c>
      <c r="H41" s="92" t="s">
        <v>13</v>
      </c>
      <c r="I41" s="112"/>
      <c r="J41" s="112"/>
      <c r="K41" s="106">
        <v>5.63</v>
      </c>
      <c r="L41" s="107">
        <f>44990*K41</f>
        <v>253293.69999999998</v>
      </c>
      <c r="M41" s="79" t="s">
        <v>57</v>
      </c>
      <c r="N41" s="108"/>
    </row>
    <row r="42" spans="1:14" s="22" customFormat="1" ht="69" customHeight="1" x14ac:dyDescent="0.2">
      <c r="A42" s="109">
        <v>1678</v>
      </c>
      <c r="B42" s="110" t="s">
        <v>62</v>
      </c>
      <c r="C42" s="110">
        <v>2018</v>
      </c>
      <c r="D42" s="102" t="s">
        <v>63</v>
      </c>
      <c r="E42" s="110">
        <v>2019</v>
      </c>
      <c r="F42" s="101" t="s">
        <v>64</v>
      </c>
      <c r="G42" s="103" t="s">
        <v>397</v>
      </c>
      <c r="H42" s="295" t="s">
        <v>68</v>
      </c>
      <c r="I42" s="112">
        <v>8</v>
      </c>
      <c r="J42" s="112">
        <v>2471</v>
      </c>
      <c r="K42" s="106">
        <v>5.7510000000000003</v>
      </c>
      <c r="L42" s="107">
        <f>131500*K42</f>
        <v>756256.5</v>
      </c>
      <c r="M42" s="79" t="s">
        <v>65</v>
      </c>
      <c r="N42" s="21"/>
    </row>
    <row r="43" spans="1:14" s="22" customFormat="1" ht="41.25" customHeight="1" x14ac:dyDescent="0.2">
      <c r="A43" s="289">
        <v>1679</v>
      </c>
      <c r="B43" s="353" t="s">
        <v>74</v>
      </c>
      <c r="C43" s="290">
        <v>2006</v>
      </c>
      <c r="D43" s="297" t="s">
        <v>25</v>
      </c>
      <c r="E43" s="290">
        <v>2019</v>
      </c>
      <c r="F43" s="292" t="s">
        <v>75</v>
      </c>
      <c r="G43" s="91" t="s">
        <v>76</v>
      </c>
      <c r="H43" s="295" t="s">
        <v>77</v>
      </c>
      <c r="I43" s="296">
        <v>9</v>
      </c>
      <c r="J43" s="296">
        <v>2472</v>
      </c>
      <c r="K43" s="94"/>
      <c r="L43" s="95">
        <v>151500</v>
      </c>
      <c r="M43" s="79" t="s">
        <v>78</v>
      </c>
      <c r="N43" s="21"/>
    </row>
    <row r="44" spans="1:14" s="22" customFormat="1" ht="41.25" customHeight="1" x14ac:dyDescent="0.2">
      <c r="A44" s="113"/>
      <c r="B44" s="359" t="s">
        <v>79</v>
      </c>
      <c r="C44" s="114">
        <v>2012</v>
      </c>
      <c r="D44" s="115" t="s">
        <v>25</v>
      </c>
      <c r="E44" s="114" t="s">
        <v>80</v>
      </c>
      <c r="F44" s="117" t="s">
        <v>81</v>
      </c>
      <c r="G44" s="67" t="s">
        <v>82</v>
      </c>
      <c r="H44" s="84" t="s">
        <v>77</v>
      </c>
      <c r="I44" s="116">
        <v>10</v>
      </c>
      <c r="J44" s="116">
        <v>2473</v>
      </c>
      <c r="K44" s="65"/>
      <c r="L44" s="66">
        <v>138300</v>
      </c>
      <c r="M44" s="64" t="s">
        <v>83</v>
      </c>
      <c r="N44" s="21"/>
    </row>
    <row r="45" spans="1:14" s="22" customFormat="1" ht="78" customHeight="1" x14ac:dyDescent="0.2">
      <c r="A45" s="374">
        <v>1680</v>
      </c>
      <c r="B45" s="364" t="s">
        <v>84</v>
      </c>
      <c r="C45" s="364">
        <v>2001</v>
      </c>
      <c r="D45" s="375" t="s">
        <v>85</v>
      </c>
      <c r="E45" s="364">
        <v>2019</v>
      </c>
      <c r="F45" s="366" t="s">
        <v>86</v>
      </c>
      <c r="G45" s="91" t="s">
        <v>87</v>
      </c>
      <c r="H45" s="264" t="s">
        <v>95</v>
      </c>
      <c r="I45" s="377">
        <v>11</v>
      </c>
      <c r="J45" s="377">
        <v>2474</v>
      </c>
      <c r="K45" s="94">
        <v>5.7393000000000001</v>
      </c>
      <c r="L45" s="95">
        <f>328585*K45</f>
        <v>1885847.8905</v>
      </c>
      <c r="M45" s="79" t="s">
        <v>83</v>
      </c>
      <c r="N45" s="21"/>
    </row>
    <row r="46" spans="1:14" s="22" customFormat="1" ht="21" customHeight="1" x14ac:dyDescent="0.2">
      <c r="A46" s="363"/>
      <c r="B46" s="367"/>
      <c r="C46" s="367"/>
      <c r="D46" s="376"/>
      <c r="E46" s="367"/>
      <c r="F46" s="367"/>
      <c r="G46" s="91" t="s">
        <v>357</v>
      </c>
      <c r="H46" s="264" t="s">
        <v>13</v>
      </c>
      <c r="I46" s="373"/>
      <c r="J46" s="373"/>
      <c r="K46" s="94">
        <v>5.74</v>
      </c>
      <c r="L46" s="95">
        <f>291785*K46</f>
        <v>1674845.9000000001</v>
      </c>
      <c r="M46" s="79" t="s">
        <v>158</v>
      </c>
      <c r="N46" s="21"/>
    </row>
    <row r="47" spans="1:14" s="22" customFormat="1" ht="139.5" customHeight="1" x14ac:dyDescent="0.2">
      <c r="A47" s="113"/>
      <c r="B47" s="359" t="s">
        <v>90</v>
      </c>
      <c r="C47" s="114">
        <v>2016</v>
      </c>
      <c r="D47" s="80" t="s">
        <v>91</v>
      </c>
      <c r="E47" s="114" t="s">
        <v>92</v>
      </c>
      <c r="F47" s="123" t="s">
        <v>22</v>
      </c>
      <c r="G47" s="67" t="s">
        <v>93</v>
      </c>
      <c r="H47" s="84" t="s">
        <v>13</v>
      </c>
      <c r="I47" s="116"/>
      <c r="J47" s="116"/>
      <c r="K47" s="65">
        <v>358.72</v>
      </c>
      <c r="L47" s="66">
        <f>5000*K47</f>
        <v>1793600.0000000002</v>
      </c>
      <c r="M47" s="64" t="s">
        <v>94</v>
      </c>
      <c r="N47" s="21"/>
    </row>
    <row r="48" spans="1:14" s="22" customFormat="1" ht="51" customHeight="1" x14ac:dyDescent="0.2">
      <c r="A48" s="118"/>
      <c r="B48" s="359" t="s">
        <v>111</v>
      </c>
      <c r="C48" s="119">
        <v>2007</v>
      </c>
      <c r="D48" s="120" t="s">
        <v>25</v>
      </c>
      <c r="E48" s="119" t="s">
        <v>112</v>
      </c>
      <c r="F48" s="348" t="s">
        <v>117</v>
      </c>
      <c r="G48" s="67" t="s">
        <v>113</v>
      </c>
      <c r="H48" s="121" t="s">
        <v>77</v>
      </c>
      <c r="I48" s="122">
        <v>12</v>
      </c>
      <c r="J48" s="122">
        <v>2475</v>
      </c>
      <c r="K48" s="65"/>
      <c r="L48" s="66">
        <v>177600</v>
      </c>
      <c r="M48" s="64" t="s">
        <v>96</v>
      </c>
      <c r="N48" s="21"/>
    </row>
    <row r="49" spans="1:14" s="22" customFormat="1" ht="54" customHeight="1" x14ac:dyDescent="0.2">
      <c r="A49" s="206"/>
      <c r="B49" s="353" t="s">
        <v>97</v>
      </c>
      <c r="C49" s="207">
        <v>2010</v>
      </c>
      <c r="D49" s="102" t="s">
        <v>98</v>
      </c>
      <c r="E49" s="207" t="s">
        <v>112</v>
      </c>
      <c r="F49" s="208" t="s">
        <v>99</v>
      </c>
      <c r="G49" s="91" t="s">
        <v>100</v>
      </c>
      <c r="H49" s="210" t="s">
        <v>13</v>
      </c>
      <c r="I49" s="211">
        <v>13</v>
      </c>
      <c r="J49" s="211">
        <v>2476</v>
      </c>
      <c r="K49" s="94">
        <v>5.74</v>
      </c>
      <c r="L49" s="95">
        <f>55000*K49</f>
        <v>315700</v>
      </c>
      <c r="M49" s="99" t="s">
        <v>101</v>
      </c>
      <c r="N49" s="21"/>
    </row>
    <row r="50" spans="1:14" s="22" customFormat="1" ht="34.5" customHeight="1" x14ac:dyDescent="0.2">
      <c r="A50" s="374">
        <v>1681</v>
      </c>
      <c r="B50" s="364" t="s">
        <v>120</v>
      </c>
      <c r="C50" s="364">
        <v>2017</v>
      </c>
      <c r="D50" s="375" t="s">
        <v>121</v>
      </c>
      <c r="E50" s="364">
        <v>2019</v>
      </c>
      <c r="F50" s="366" t="s">
        <v>122</v>
      </c>
      <c r="G50" s="91" t="s">
        <v>272</v>
      </c>
      <c r="H50" s="397" t="s">
        <v>95</v>
      </c>
      <c r="I50" s="377">
        <v>14</v>
      </c>
      <c r="J50" s="377">
        <v>2477</v>
      </c>
      <c r="K50" s="94">
        <v>5.7937000000000003</v>
      </c>
      <c r="L50" s="95">
        <f>314310*K50</f>
        <v>1821017.8470000001</v>
      </c>
      <c r="M50" s="99" t="s">
        <v>101</v>
      </c>
      <c r="N50" s="21"/>
    </row>
    <row r="51" spans="1:14" s="22" customFormat="1" ht="44.25" customHeight="1" x14ac:dyDescent="0.2">
      <c r="A51" s="391"/>
      <c r="B51" s="365"/>
      <c r="C51" s="365"/>
      <c r="D51" s="367"/>
      <c r="E51" s="365"/>
      <c r="F51" s="367"/>
      <c r="G51" s="91" t="s">
        <v>123</v>
      </c>
      <c r="H51" s="398"/>
      <c r="I51" s="399"/>
      <c r="J51" s="399"/>
      <c r="K51" s="94">
        <v>5.7980999999999998</v>
      </c>
      <c r="L51" s="95">
        <f>13610*K51</f>
        <v>78912.141000000003</v>
      </c>
      <c r="M51" s="99" t="s">
        <v>101</v>
      </c>
      <c r="N51" s="21"/>
    </row>
    <row r="52" spans="1:14" s="22" customFormat="1" ht="51" customHeight="1" x14ac:dyDescent="0.2">
      <c r="A52" s="96">
        <v>1682</v>
      </c>
      <c r="B52" s="353" t="s">
        <v>114</v>
      </c>
      <c r="C52" s="83">
        <v>2015</v>
      </c>
      <c r="D52" s="90" t="s">
        <v>25</v>
      </c>
      <c r="E52" s="83">
        <v>2019</v>
      </c>
      <c r="F52" s="203" t="s">
        <v>117</v>
      </c>
      <c r="G52" s="91" t="s">
        <v>115</v>
      </c>
      <c r="H52" s="131" t="s">
        <v>77</v>
      </c>
      <c r="I52" s="98">
        <v>15</v>
      </c>
      <c r="J52" s="98">
        <v>2478</v>
      </c>
      <c r="K52" s="94"/>
      <c r="L52" s="95">
        <v>327700</v>
      </c>
      <c r="M52" s="99" t="s">
        <v>116</v>
      </c>
      <c r="N52" s="21"/>
    </row>
    <row r="53" spans="1:14" s="22" customFormat="1" ht="29.25" customHeight="1" x14ac:dyDescent="0.2">
      <c r="A53" s="220"/>
      <c r="B53" s="353" t="s">
        <v>102</v>
      </c>
      <c r="C53" s="221">
        <v>2012</v>
      </c>
      <c r="D53" s="225" t="s">
        <v>25</v>
      </c>
      <c r="E53" s="221" t="s">
        <v>80</v>
      </c>
      <c r="F53" s="222" t="s">
        <v>103</v>
      </c>
      <c r="G53" s="91" t="s">
        <v>104</v>
      </c>
      <c r="H53" s="223" t="s">
        <v>77</v>
      </c>
      <c r="I53" s="224">
        <v>16</v>
      </c>
      <c r="J53" s="224">
        <v>2479</v>
      </c>
      <c r="K53" s="94">
        <v>431.62</v>
      </c>
      <c r="L53" s="95">
        <f>441*K53</f>
        <v>190344.42</v>
      </c>
      <c r="M53" s="99" t="s">
        <v>105</v>
      </c>
      <c r="N53" s="21"/>
    </row>
    <row r="54" spans="1:14" s="22" customFormat="1" ht="40.5" customHeight="1" x14ac:dyDescent="0.2">
      <c r="A54" s="340">
        <v>1683</v>
      </c>
      <c r="B54" s="353" t="s">
        <v>106</v>
      </c>
      <c r="C54" s="336">
        <v>2003</v>
      </c>
      <c r="D54" s="102" t="s">
        <v>107</v>
      </c>
      <c r="E54" s="336">
        <v>2019</v>
      </c>
      <c r="F54" s="337" t="s">
        <v>72</v>
      </c>
      <c r="G54" s="91" t="s">
        <v>108</v>
      </c>
      <c r="H54" s="338" t="s">
        <v>118</v>
      </c>
      <c r="I54" s="342">
        <v>17</v>
      </c>
      <c r="J54" s="342">
        <v>2480</v>
      </c>
      <c r="K54" s="94">
        <v>5.76</v>
      </c>
      <c r="L54" s="95">
        <f>39990*K54</f>
        <v>230342.39999999999</v>
      </c>
      <c r="M54" s="99" t="s">
        <v>105</v>
      </c>
      <c r="N54" s="21"/>
    </row>
    <row r="55" spans="1:14" s="22" customFormat="1" ht="50.25" customHeight="1" x14ac:dyDescent="0.2">
      <c r="A55" s="340">
        <v>1684</v>
      </c>
      <c r="B55" s="353" t="s">
        <v>109</v>
      </c>
      <c r="C55" s="336">
        <v>2009</v>
      </c>
      <c r="D55" s="102" t="s">
        <v>110</v>
      </c>
      <c r="E55" s="336">
        <v>2019</v>
      </c>
      <c r="F55" s="337" t="s">
        <v>72</v>
      </c>
      <c r="G55" s="91" t="s">
        <v>73</v>
      </c>
      <c r="H55" s="338" t="s">
        <v>119</v>
      </c>
      <c r="I55" s="342">
        <v>18</v>
      </c>
      <c r="J55" s="342">
        <v>2481</v>
      </c>
      <c r="K55" s="94">
        <v>5.76</v>
      </c>
      <c r="L55" s="95">
        <f>44990*K55</f>
        <v>259142.39999999999</v>
      </c>
      <c r="M55" s="99" t="s">
        <v>105</v>
      </c>
      <c r="N55" s="21"/>
    </row>
    <row r="56" spans="1:14" s="22" customFormat="1" ht="18" customHeight="1" x14ac:dyDescent="0.2">
      <c r="A56" s="374">
        <v>1685</v>
      </c>
      <c r="B56" s="364" t="s">
        <v>124</v>
      </c>
      <c r="C56" s="364">
        <v>2017</v>
      </c>
      <c r="D56" s="375" t="s">
        <v>125</v>
      </c>
      <c r="E56" s="364">
        <v>2019</v>
      </c>
      <c r="F56" s="366" t="s">
        <v>22</v>
      </c>
      <c r="G56" s="91" t="s">
        <v>60</v>
      </c>
      <c r="H56" s="370" t="s">
        <v>13</v>
      </c>
      <c r="I56" s="377">
        <v>19</v>
      </c>
      <c r="J56" s="377">
        <v>2482</v>
      </c>
      <c r="K56" s="94">
        <v>358.72</v>
      </c>
      <c r="L56" s="95">
        <f t="shared" ref="L56:L61" si="0">9000*K56</f>
        <v>3228480.0000000005</v>
      </c>
      <c r="M56" s="99" t="s">
        <v>126</v>
      </c>
      <c r="N56" s="21"/>
    </row>
    <row r="57" spans="1:14" s="22" customFormat="1" ht="18" customHeight="1" x14ac:dyDescent="0.2">
      <c r="A57" s="409"/>
      <c r="B57" s="400"/>
      <c r="C57" s="400"/>
      <c r="D57" s="400"/>
      <c r="E57" s="400"/>
      <c r="F57" s="400"/>
      <c r="G57" s="91" t="s">
        <v>60</v>
      </c>
      <c r="H57" s="404"/>
      <c r="I57" s="405"/>
      <c r="J57" s="405"/>
      <c r="K57" s="94">
        <v>358.72</v>
      </c>
      <c r="L57" s="95">
        <f t="shared" si="0"/>
        <v>3228480.0000000005</v>
      </c>
      <c r="M57" s="99" t="s">
        <v>209</v>
      </c>
      <c r="N57" s="21"/>
    </row>
    <row r="58" spans="1:14" s="22" customFormat="1" ht="18" customHeight="1" x14ac:dyDescent="0.2">
      <c r="A58" s="410"/>
      <c r="B58" s="400"/>
      <c r="C58" s="400"/>
      <c r="D58" s="400"/>
      <c r="E58" s="400"/>
      <c r="F58" s="400"/>
      <c r="G58" s="91" t="s">
        <v>60</v>
      </c>
      <c r="H58" s="404"/>
      <c r="I58" s="405"/>
      <c r="J58" s="405"/>
      <c r="K58" s="94">
        <v>358.72</v>
      </c>
      <c r="L58" s="95">
        <f t="shared" si="0"/>
        <v>3228480.0000000005</v>
      </c>
      <c r="M58" s="99" t="s">
        <v>232</v>
      </c>
      <c r="N58" s="21"/>
    </row>
    <row r="59" spans="1:14" s="22" customFormat="1" ht="18" customHeight="1" x14ac:dyDescent="0.2">
      <c r="A59" s="410"/>
      <c r="B59" s="400"/>
      <c r="C59" s="400"/>
      <c r="D59" s="400"/>
      <c r="E59" s="400"/>
      <c r="F59" s="400"/>
      <c r="G59" s="91" t="s">
        <v>60</v>
      </c>
      <c r="H59" s="404"/>
      <c r="I59" s="405"/>
      <c r="J59" s="405"/>
      <c r="K59" s="94">
        <v>375.01</v>
      </c>
      <c r="L59" s="95">
        <f t="shared" si="0"/>
        <v>3375090</v>
      </c>
      <c r="M59" s="99" t="s">
        <v>298</v>
      </c>
      <c r="N59" s="21"/>
    </row>
    <row r="60" spans="1:14" s="22" customFormat="1" ht="18" customHeight="1" x14ac:dyDescent="0.2">
      <c r="A60" s="410"/>
      <c r="B60" s="400"/>
      <c r="C60" s="400"/>
      <c r="D60" s="400"/>
      <c r="E60" s="400"/>
      <c r="F60" s="400"/>
      <c r="G60" s="91" t="s">
        <v>60</v>
      </c>
      <c r="H60" s="404"/>
      <c r="I60" s="405"/>
      <c r="J60" s="405"/>
      <c r="K60" s="94">
        <v>375.01</v>
      </c>
      <c r="L60" s="95">
        <f t="shared" si="0"/>
        <v>3375090</v>
      </c>
      <c r="M60" s="99" t="s">
        <v>299</v>
      </c>
      <c r="N60" s="21"/>
    </row>
    <row r="61" spans="1:14" s="22" customFormat="1" ht="18" customHeight="1" x14ac:dyDescent="0.2">
      <c r="A61" s="410"/>
      <c r="B61" s="400"/>
      <c r="C61" s="400"/>
      <c r="D61" s="400"/>
      <c r="E61" s="400"/>
      <c r="F61" s="400"/>
      <c r="G61" s="91" t="s">
        <v>60</v>
      </c>
      <c r="H61" s="404"/>
      <c r="I61" s="405"/>
      <c r="J61" s="405"/>
      <c r="K61" s="94">
        <v>379.6</v>
      </c>
      <c r="L61" s="95">
        <f t="shared" si="0"/>
        <v>3416400</v>
      </c>
      <c r="M61" s="99" t="s">
        <v>329</v>
      </c>
      <c r="N61" s="21"/>
    </row>
    <row r="62" spans="1:14" s="22" customFormat="1" ht="18" customHeight="1" x14ac:dyDescent="0.2">
      <c r="A62" s="363"/>
      <c r="B62" s="367"/>
      <c r="C62" s="367"/>
      <c r="D62" s="367"/>
      <c r="E62" s="367"/>
      <c r="F62" s="367"/>
      <c r="G62" s="91" t="s">
        <v>222</v>
      </c>
      <c r="H62" s="371"/>
      <c r="I62" s="373"/>
      <c r="J62" s="373"/>
      <c r="K62" s="94">
        <v>379.6</v>
      </c>
      <c r="L62" s="95">
        <f>6000*K62</f>
        <v>2277600</v>
      </c>
      <c r="M62" s="99" t="s">
        <v>333</v>
      </c>
      <c r="N62" s="21"/>
    </row>
    <row r="63" spans="1:14" s="22" customFormat="1" ht="38.25" customHeight="1" x14ac:dyDescent="0.2">
      <c r="A63" s="126"/>
      <c r="B63" s="353" t="s">
        <v>127</v>
      </c>
      <c r="C63" s="127">
        <v>2011</v>
      </c>
      <c r="D63" s="128" t="s">
        <v>128</v>
      </c>
      <c r="E63" s="127" t="s">
        <v>92</v>
      </c>
      <c r="F63" s="129" t="s">
        <v>129</v>
      </c>
      <c r="G63" s="91" t="s">
        <v>130</v>
      </c>
      <c r="H63" s="227" t="s">
        <v>175</v>
      </c>
      <c r="I63" s="130"/>
      <c r="J63" s="130"/>
      <c r="K63" s="94">
        <v>358.72</v>
      </c>
      <c r="L63" s="95">
        <f>3000*K63</f>
        <v>1076160</v>
      </c>
      <c r="M63" s="99" t="s">
        <v>131</v>
      </c>
      <c r="N63" s="21"/>
    </row>
    <row r="64" spans="1:14" s="22" customFormat="1" ht="19.5" customHeight="1" x14ac:dyDescent="0.2">
      <c r="A64" s="378"/>
      <c r="B64" s="381" t="s">
        <v>132</v>
      </c>
      <c r="C64" s="381">
        <v>2009</v>
      </c>
      <c r="D64" s="384" t="s">
        <v>133</v>
      </c>
      <c r="E64" s="381" t="s">
        <v>46</v>
      </c>
      <c r="F64" s="385" t="s">
        <v>129</v>
      </c>
      <c r="G64" s="67" t="s">
        <v>60</v>
      </c>
      <c r="H64" s="389" t="s">
        <v>13</v>
      </c>
      <c r="I64" s="386">
        <v>20</v>
      </c>
      <c r="J64" s="386">
        <v>2483</v>
      </c>
      <c r="K64" s="65">
        <v>358.72</v>
      </c>
      <c r="L64" s="66">
        <f>9000*K64</f>
        <v>3228480.0000000005</v>
      </c>
      <c r="M64" s="124" t="s">
        <v>131</v>
      </c>
      <c r="N64" s="21"/>
    </row>
    <row r="65" spans="1:14" s="22" customFormat="1" ht="18" customHeight="1" x14ac:dyDescent="0.2">
      <c r="A65" s="408"/>
      <c r="B65" s="406"/>
      <c r="C65" s="406"/>
      <c r="D65" s="383"/>
      <c r="E65" s="406"/>
      <c r="F65" s="407"/>
      <c r="G65" s="67" t="s">
        <v>153</v>
      </c>
      <c r="H65" s="402"/>
      <c r="I65" s="403"/>
      <c r="J65" s="403"/>
      <c r="K65" s="65">
        <v>358.72</v>
      </c>
      <c r="L65" s="66">
        <f>3800*K65</f>
        <v>1363136</v>
      </c>
      <c r="M65" s="124" t="s">
        <v>144</v>
      </c>
      <c r="N65" s="21"/>
    </row>
    <row r="66" spans="1:14" s="22" customFormat="1" ht="27.75" customHeight="1" x14ac:dyDescent="0.2">
      <c r="A66" s="146"/>
      <c r="B66" s="353" t="s">
        <v>135</v>
      </c>
      <c r="C66" s="147">
        <v>2012</v>
      </c>
      <c r="D66" s="155" t="s">
        <v>63</v>
      </c>
      <c r="E66" s="147" t="s">
        <v>136</v>
      </c>
      <c r="F66" s="148" t="s">
        <v>23</v>
      </c>
      <c r="G66" s="91" t="s">
        <v>137</v>
      </c>
      <c r="H66" s="149" t="s">
        <v>13</v>
      </c>
      <c r="I66" s="150">
        <v>21</v>
      </c>
      <c r="J66" s="150">
        <v>2484</v>
      </c>
      <c r="K66" s="94">
        <v>5.74</v>
      </c>
      <c r="L66" s="95">
        <f>119056.83*K66</f>
        <v>683386.20420000004</v>
      </c>
      <c r="M66" s="99" t="s">
        <v>131</v>
      </c>
      <c r="N66" s="21"/>
    </row>
    <row r="67" spans="1:14" s="22" customFormat="1" ht="17.25" customHeight="1" x14ac:dyDescent="0.2">
      <c r="A67" s="374"/>
      <c r="B67" s="364" t="s">
        <v>138</v>
      </c>
      <c r="C67" s="364">
        <v>2010</v>
      </c>
      <c r="D67" s="375" t="s">
        <v>139</v>
      </c>
      <c r="E67" s="364" t="s">
        <v>45</v>
      </c>
      <c r="F67" s="366" t="s">
        <v>140</v>
      </c>
      <c r="G67" s="91" t="s">
        <v>60</v>
      </c>
      <c r="H67" s="370" t="s">
        <v>159</v>
      </c>
      <c r="I67" s="377">
        <v>22</v>
      </c>
      <c r="J67" s="377">
        <v>2485</v>
      </c>
      <c r="K67" s="94">
        <v>358.72</v>
      </c>
      <c r="L67" s="95">
        <f>9000*K67</f>
        <v>3228480.0000000005</v>
      </c>
      <c r="M67" s="99" t="s">
        <v>131</v>
      </c>
      <c r="N67" s="21"/>
    </row>
    <row r="68" spans="1:14" s="22" customFormat="1" ht="22.5" customHeight="1" x14ac:dyDescent="0.2">
      <c r="A68" s="391"/>
      <c r="B68" s="365"/>
      <c r="C68" s="365"/>
      <c r="D68" s="376"/>
      <c r="E68" s="365"/>
      <c r="F68" s="367"/>
      <c r="G68" s="91" t="s">
        <v>93</v>
      </c>
      <c r="H68" s="371"/>
      <c r="I68" s="399"/>
      <c r="J68" s="399"/>
      <c r="K68" s="94">
        <v>358.72</v>
      </c>
      <c r="L68" s="95">
        <f>5000*K68</f>
        <v>1793600.0000000002</v>
      </c>
      <c r="M68" s="99" t="s">
        <v>144</v>
      </c>
      <c r="N68" s="21"/>
    </row>
    <row r="69" spans="1:14" s="22" customFormat="1" ht="30" customHeight="1" x14ac:dyDescent="0.2">
      <c r="A69" s="146"/>
      <c r="B69" s="353" t="s">
        <v>141</v>
      </c>
      <c r="C69" s="147">
        <v>2017</v>
      </c>
      <c r="D69" s="102" t="s">
        <v>142</v>
      </c>
      <c r="E69" s="147" t="s">
        <v>45</v>
      </c>
      <c r="F69" s="148" t="s">
        <v>23</v>
      </c>
      <c r="G69" s="91" t="s">
        <v>143</v>
      </c>
      <c r="H69" s="149" t="s">
        <v>13</v>
      </c>
      <c r="I69" s="150">
        <v>23</v>
      </c>
      <c r="J69" s="150">
        <v>2486</v>
      </c>
      <c r="K69" s="94">
        <v>5.73</v>
      </c>
      <c r="L69" s="95">
        <f>109864.83*K69</f>
        <v>629525.47590000008</v>
      </c>
      <c r="M69" s="99" t="s">
        <v>144</v>
      </c>
      <c r="N69" s="21"/>
    </row>
    <row r="70" spans="1:14" s="22" customFormat="1" ht="23.25" customHeight="1" x14ac:dyDescent="0.2">
      <c r="A70" s="374">
        <v>1686</v>
      </c>
      <c r="B70" s="364" t="s">
        <v>145</v>
      </c>
      <c r="C70" s="364">
        <v>2010</v>
      </c>
      <c r="D70" s="375" t="s">
        <v>146</v>
      </c>
      <c r="E70" s="364">
        <v>2019</v>
      </c>
      <c r="F70" s="366" t="s">
        <v>147</v>
      </c>
      <c r="G70" s="91" t="s">
        <v>148</v>
      </c>
      <c r="H70" s="370" t="s">
        <v>193</v>
      </c>
      <c r="I70" s="377">
        <v>24</v>
      </c>
      <c r="J70" s="377">
        <v>2487</v>
      </c>
      <c r="K70" s="94">
        <v>5.73</v>
      </c>
      <c r="L70" s="95">
        <f>500000*K70</f>
        <v>2865000</v>
      </c>
      <c r="M70" s="99" t="s">
        <v>144</v>
      </c>
      <c r="N70" s="21"/>
    </row>
    <row r="71" spans="1:14" s="22" customFormat="1" ht="48" customHeight="1" x14ac:dyDescent="0.2">
      <c r="A71" s="363"/>
      <c r="B71" s="367"/>
      <c r="C71" s="367"/>
      <c r="D71" s="376"/>
      <c r="E71" s="367"/>
      <c r="F71" s="367"/>
      <c r="G71" s="91" t="s">
        <v>160</v>
      </c>
      <c r="H71" s="371"/>
      <c r="I71" s="373"/>
      <c r="J71" s="373"/>
      <c r="K71" s="94">
        <v>5.7808000000000002</v>
      </c>
      <c r="L71" s="95">
        <f>643040*K71</f>
        <v>3717285.6320000002</v>
      </c>
      <c r="M71" s="99" t="s">
        <v>161</v>
      </c>
      <c r="N71" s="21"/>
    </row>
    <row r="72" spans="1:14" s="22" customFormat="1" ht="92.25" customHeight="1" x14ac:dyDescent="0.2">
      <c r="A72" s="126"/>
      <c r="B72" s="353" t="s">
        <v>149</v>
      </c>
      <c r="C72" s="127">
        <v>2017</v>
      </c>
      <c r="D72" s="102" t="s">
        <v>150</v>
      </c>
      <c r="E72" s="127" t="s">
        <v>134</v>
      </c>
      <c r="F72" s="129" t="s">
        <v>151</v>
      </c>
      <c r="G72" s="91" t="s">
        <v>152</v>
      </c>
      <c r="H72" s="132" t="s">
        <v>175</v>
      </c>
      <c r="I72" s="130">
        <v>25</v>
      </c>
      <c r="J72" s="130">
        <v>2488</v>
      </c>
      <c r="K72" s="94">
        <v>5.73</v>
      </c>
      <c r="L72" s="95">
        <f>65300*K72</f>
        <v>374169</v>
      </c>
      <c r="M72" s="99" t="s">
        <v>144</v>
      </c>
      <c r="N72" s="21"/>
    </row>
    <row r="73" spans="1:14" s="22" customFormat="1" ht="28.5" customHeight="1" x14ac:dyDescent="0.2">
      <c r="A73" s="340">
        <v>1687</v>
      </c>
      <c r="B73" s="353" t="s">
        <v>154</v>
      </c>
      <c r="C73" s="336">
        <v>2008</v>
      </c>
      <c r="D73" s="196" t="s">
        <v>155</v>
      </c>
      <c r="E73" s="336">
        <v>2019</v>
      </c>
      <c r="F73" s="337" t="s">
        <v>72</v>
      </c>
      <c r="G73" s="91" t="s">
        <v>73</v>
      </c>
      <c r="H73" s="338" t="s">
        <v>13</v>
      </c>
      <c r="I73" s="342">
        <v>26</v>
      </c>
      <c r="J73" s="342">
        <v>2489</v>
      </c>
      <c r="K73" s="94">
        <v>5.73</v>
      </c>
      <c r="L73" s="95">
        <f>44990*K73</f>
        <v>257792.7</v>
      </c>
      <c r="M73" s="99" t="s">
        <v>144</v>
      </c>
      <c r="N73" s="21"/>
    </row>
    <row r="74" spans="1:14" s="22" customFormat="1" ht="90" customHeight="1" x14ac:dyDescent="0.2">
      <c r="A74" s="159">
        <v>1688</v>
      </c>
      <c r="B74" s="353" t="s">
        <v>156</v>
      </c>
      <c r="C74" s="160">
        <v>2015</v>
      </c>
      <c r="D74" s="163" t="s">
        <v>25</v>
      </c>
      <c r="E74" s="160">
        <v>2019</v>
      </c>
      <c r="F74" s="101" t="s">
        <v>213</v>
      </c>
      <c r="G74" s="91" t="s">
        <v>157</v>
      </c>
      <c r="H74" s="161" t="s">
        <v>117</v>
      </c>
      <c r="I74" s="162">
        <v>27</v>
      </c>
      <c r="J74" s="162">
        <v>2490</v>
      </c>
      <c r="K74" s="94">
        <v>5.74</v>
      </c>
      <c r="L74" s="95">
        <f>26000*K74</f>
        <v>149240</v>
      </c>
      <c r="M74" s="99" t="s">
        <v>158</v>
      </c>
      <c r="N74" s="21"/>
    </row>
    <row r="75" spans="1:14" s="22" customFormat="1" ht="51.75" customHeight="1" x14ac:dyDescent="0.2">
      <c r="A75" s="133">
        <v>1689</v>
      </c>
      <c r="B75" s="359" t="s">
        <v>162</v>
      </c>
      <c r="C75" s="134">
        <v>2017</v>
      </c>
      <c r="D75" s="137" t="s">
        <v>163</v>
      </c>
      <c r="E75" s="134">
        <v>2019</v>
      </c>
      <c r="F75" s="268" t="s">
        <v>164</v>
      </c>
      <c r="G75" s="67" t="s">
        <v>165</v>
      </c>
      <c r="H75" s="136" t="s">
        <v>173</v>
      </c>
      <c r="I75" s="135">
        <v>28</v>
      </c>
      <c r="J75" s="135">
        <v>2491</v>
      </c>
      <c r="K75" s="65">
        <v>5.7758000000000003</v>
      </c>
      <c r="L75" s="66">
        <f>300000*K75</f>
        <v>1732740</v>
      </c>
      <c r="M75" s="124" t="s">
        <v>166</v>
      </c>
      <c r="N75" s="21"/>
    </row>
    <row r="76" spans="1:14" s="22" customFormat="1" ht="26.25" customHeight="1" x14ac:dyDescent="0.2">
      <c r="A76" s="340">
        <v>1690</v>
      </c>
      <c r="B76" s="353" t="s">
        <v>167</v>
      </c>
      <c r="C76" s="336">
        <v>2009</v>
      </c>
      <c r="D76" s="196" t="s">
        <v>155</v>
      </c>
      <c r="E76" s="336">
        <v>2019</v>
      </c>
      <c r="F76" s="337" t="s">
        <v>168</v>
      </c>
      <c r="G76" s="91" t="s">
        <v>169</v>
      </c>
      <c r="H76" s="338" t="s">
        <v>13</v>
      </c>
      <c r="I76" s="342">
        <v>29</v>
      </c>
      <c r="J76" s="342">
        <v>2492</v>
      </c>
      <c r="K76" s="94">
        <v>5.7583000000000002</v>
      </c>
      <c r="L76" s="95">
        <f>43000*K76</f>
        <v>247606.9</v>
      </c>
      <c r="M76" s="99" t="s">
        <v>170</v>
      </c>
      <c r="N76" s="21"/>
    </row>
    <row r="77" spans="1:14" s="22" customFormat="1" ht="26.25" customHeight="1" x14ac:dyDescent="0.2">
      <c r="A77" s="340">
        <v>1691</v>
      </c>
      <c r="B77" s="353" t="s">
        <v>171</v>
      </c>
      <c r="C77" s="336">
        <v>2017</v>
      </c>
      <c r="D77" s="196" t="s">
        <v>155</v>
      </c>
      <c r="E77" s="336">
        <v>2019</v>
      </c>
      <c r="F77" s="337" t="s">
        <v>168</v>
      </c>
      <c r="G77" s="91" t="s">
        <v>172</v>
      </c>
      <c r="H77" s="338" t="s">
        <v>13</v>
      </c>
      <c r="I77" s="342">
        <v>30</v>
      </c>
      <c r="J77" s="342">
        <v>2493</v>
      </c>
      <c r="K77" s="94">
        <v>5.7614000000000001</v>
      </c>
      <c r="L77" s="95">
        <f>5900*K77</f>
        <v>33992.26</v>
      </c>
      <c r="M77" s="99" t="s">
        <v>170</v>
      </c>
      <c r="N77" s="21"/>
    </row>
    <row r="78" spans="1:14" s="22" customFormat="1" ht="66" customHeight="1" x14ac:dyDescent="0.2">
      <c r="A78" s="378">
        <v>1692</v>
      </c>
      <c r="B78" s="381" t="s">
        <v>176</v>
      </c>
      <c r="C78" s="381">
        <v>2017</v>
      </c>
      <c r="D78" s="384" t="s">
        <v>177</v>
      </c>
      <c r="E78" s="142">
        <v>2019</v>
      </c>
      <c r="F78" s="82" t="s">
        <v>178</v>
      </c>
      <c r="G78" s="67" t="s">
        <v>179</v>
      </c>
      <c r="H78" s="167" t="s">
        <v>215</v>
      </c>
      <c r="I78" s="386">
        <v>31</v>
      </c>
      <c r="J78" s="386">
        <v>2494</v>
      </c>
      <c r="K78" s="65">
        <v>5.7774000000000001</v>
      </c>
      <c r="L78" s="66">
        <f>60030*K78</f>
        <v>346817.32199999999</v>
      </c>
      <c r="M78" s="124" t="s">
        <v>180</v>
      </c>
      <c r="N78" s="21"/>
    </row>
    <row r="79" spans="1:14" s="22" customFormat="1" ht="66.75" customHeight="1" x14ac:dyDescent="0.2">
      <c r="A79" s="408"/>
      <c r="B79" s="406"/>
      <c r="C79" s="406"/>
      <c r="D79" s="383"/>
      <c r="E79" s="249" t="s">
        <v>45</v>
      </c>
      <c r="F79" s="251" t="s">
        <v>192</v>
      </c>
      <c r="G79" s="91" t="s">
        <v>345</v>
      </c>
      <c r="H79" s="252" t="s">
        <v>95</v>
      </c>
      <c r="I79" s="403"/>
      <c r="J79" s="403"/>
      <c r="K79" s="94">
        <v>5.7624000000000004</v>
      </c>
      <c r="L79" s="95">
        <f>262191*K79</f>
        <v>1510849.4184000001</v>
      </c>
      <c r="M79" s="99" t="s">
        <v>181</v>
      </c>
      <c r="N79" s="21"/>
    </row>
    <row r="80" spans="1:14" s="22" customFormat="1" ht="65.25" customHeight="1" x14ac:dyDescent="0.2">
      <c r="A80" s="214"/>
      <c r="B80" s="353" t="s">
        <v>182</v>
      </c>
      <c r="C80" s="217">
        <v>2004</v>
      </c>
      <c r="D80" s="216" t="s">
        <v>183</v>
      </c>
      <c r="E80" s="217" t="s">
        <v>184</v>
      </c>
      <c r="F80" s="218" t="s">
        <v>185</v>
      </c>
      <c r="G80" s="91" t="s">
        <v>186</v>
      </c>
      <c r="H80" s="219" t="s">
        <v>13</v>
      </c>
      <c r="I80" s="215"/>
      <c r="J80" s="215"/>
      <c r="K80" s="94">
        <v>5.8266</v>
      </c>
      <c r="L80" s="95">
        <f>18000*K80</f>
        <v>104878.8</v>
      </c>
      <c r="M80" s="99" t="s">
        <v>181</v>
      </c>
      <c r="N80" s="21"/>
    </row>
    <row r="81" spans="1:14" s="22" customFormat="1" ht="63.75" customHeight="1" x14ac:dyDescent="0.2">
      <c r="A81" s="141"/>
      <c r="B81" s="359" t="s">
        <v>187</v>
      </c>
      <c r="C81" s="142">
        <v>2009</v>
      </c>
      <c r="D81" s="80" t="s">
        <v>188</v>
      </c>
      <c r="E81" s="142" t="s">
        <v>92</v>
      </c>
      <c r="F81" s="143" t="s">
        <v>26</v>
      </c>
      <c r="G81" s="67" t="s">
        <v>189</v>
      </c>
      <c r="H81" s="145" t="s">
        <v>13</v>
      </c>
      <c r="I81" s="144"/>
      <c r="J81" s="144"/>
      <c r="K81" s="65">
        <v>358.72</v>
      </c>
      <c r="L81" s="66">
        <f>918*K81</f>
        <v>329304.96000000002</v>
      </c>
      <c r="M81" s="124" t="s">
        <v>181</v>
      </c>
      <c r="N81" s="21"/>
    </row>
    <row r="82" spans="1:14" s="22" customFormat="1" ht="28.5" customHeight="1" x14ac:dyDescent="0.2">
      <c r="A82" s="374">
        <v>1693</v>
      </c>
      <c r="B82" s="364" t="s">
        <v>194</v>
      </c>
      <c r="C82" s="364">
        <v>2017</v>
      </c>
      <c r="D82" s="375" t="s">
        <v>195</v>
      </c>
      <c r="E82" s="364">
        <v>2019</v>
      </c>
      <c r="F82" s="366" t="s">
        <v>196</v>
      </c>
      <c r="G82" s="91" t="s">
        <v>197</v>
      </c>
      <c r="H82" s="293" t="s">
        <v>95</v>
      </c>
      <c r="I82" s="377">
        <v>32</v>
      </c>
      <c r="J82" s="377">
        <v>2495</v>
      </c>
      <c r="K82" s="94">
        <v>5.7624000000000004</v>
      </c>
      <c r="L82" s="95">
        <f>301690*K82</f>
        <v>1738458.4560000002</v>
      </c>
      <c r="M82" s="99" t="s">
        <v>191</v>
      </c>
      <c r="N82" s="21"/>
    </row>
    <row r="83" spans="1:14" s="22" customFormat="1" ht="20.25" customHeight="1" x14ac:dyDescent="0.2">
      <c r="A83" s="410"/>
      <c r="B83" s="400"/>
      <c r="C83" s="400"/>
      <c r="D83" s="400"/>
      <c r="E83" s="400"/>
      <c r="F83" s="400"/>
      <c r="G83" s="91" t="s">
        <v>218</v>
      </c>
      <c r="H83" s="370" t="s">
        <v>13</v>
      </c>
      <c r="I83" s="405"/>
      <c r="J83" s="405"/>
      <c r="K83" s="94">
        <v>5.8285999999999998</v>
      </c>
      <c r="L83" s="95">
        <f>500000*K83</f>
        <v>2914300</v>
      </c>
      <c r="M83" s="99" t="s">
        <v>219</v>
      </c>
      <c r="N83" s="21"/>
    </row>
    <row r="84" spans="1:14" s="22" customFormat="1" ht="18.75" customHeight="1" x14ac:dyDescent="0.2">
      <c r="A84" s="410"/>
      <c r="B84" s="400"/>
      <c r="C84" s="400"/>
      <c r="D84" s="400"/>
      <c r="E84" s="400"/>
      <c r="F84" s="400"/>
      <c r="G84" s="91" t="s">
        <v>218</v>
      </c>
      <c r="H84" s="404"/>
      <c r="I84" s="405"/>
      <c r="J84" s="405"/>
      <c r="K84" s="94">
        <v>5.8730000000000002</v>
      </c>
      <c r="L84" s="95">
        <f>500000*K84</f>
        <v>2936500</v>
      </c>
      <c r="M84" s="99" t="s">
        <v>232</v>
      </c>
      <c r="N84" s="21"/>
    </row>
    <row r="85" spans="1:14" s="22" customFormat="1" ht="18.75" customHeight="1" x14ac:dyDescent="0.2">
      <c r="A85" s="410"/>
      <c r="B85" s="400"/>
      <c r="C85" s="400"/>
      <c r="D85" s="400"/>
      <c r="E85" s="400"/>
      <c r="F85" s="400"/>
      <c r="G85" s="91" t="s">
        <v>218</v>
      </c>
      <c r="H85" s="404"/>
      <c r="I85" s="405"/>
      <c r="J85" s="405"/>
      <c r="K85" s="94">
        <v>5.9741</v>
      </c>
      <c r="L85" s="95">
        <f>500000*K85</f>
        <v>2987050</v>
      </c>
      <c r="M85" s="99" t="s">
        <v>248</v>
      </c>
      <c r="N85" s="21"/>
    </row>
    <row r="86" spans="1:14" s="22" customFormat="1" ht="18.75" customHeight="1" x14ac:dyDescent="0.2">
      <c r="A86" s="363"/>
      <c r="B86" s="367"/>
      <c r="C86" s="367"/>
      <c r="D86" s="367"/>
      <c r="E86" s="367"/>
      <c r="F86" s="367"/>
      <c r="G86" s="91" t="s">
        <v>398</v>
      </c>
      <c r="H86" s="371"/>
      <c r="I86" s="373"/>
      <c r="J86" s="373"/>
      <c r="K86" s="94">
        <v>5.9143999999999997</v>
      </c>
      <c r="L86" s="95">
        <f>315487*K86</f>
        <v>1865916.3128</v>
      </c>
      <c r="M86" s="99" t="s">
        <v>277</v>
      </c>
      <c r="N86" s="21"/>
    </row>
    <row r="87" spans="1:14" s="22" customFormat="1" ht="94.5" customHeight="1" x14ac:dyDescent="0.2">
      <c r="A87" s="275"/>
      <c r="B87" s="353" t="s">
        <v>198</v>
      </c>
      <c r="C87" s="276">
        <v>2010</v>
      </c>
      <c r="D87" s="282" t="s">
        <v>25</v>
      </c>
      <c r="E87" s="276" t="s">
        <v>190</v>
      </c>
      <c r="F87" s="278" t="s">
        <v>199</v>
      </c>
      <c r="G87" s="91" t="s">
        <v>376</v>
      </c>
      <c r="H87" s="279" t="s">
        <v>212</v>
      </c>
      <c r="I87" s="281">
        <v>33</v>
      </c>
      <c r="J87" s="281">
        <v>2496</v>
      </c>
      <c r="K87" s="94">
        <v>376.17</v>
      </c>
      <c r="L87" s="95">
        <f>1320*K87</f>
        <v>496544.4</v>
      </c>
      <c r="M87" s="99" t="s">
        <v>191</v>
      </c>
      <c r="N87" s="21"/>
    </row>
    <row r="88" spans="1:14" s="22" customFormat="1" ht="42" customHeight="1" x14ac:dyDescent="0.2">
      <c r="A88" s="181"/>
      <c r="B88" s="353" t="s">
        <v>200</v>
      </c>
      <c r="C88" s="180">
        <v>2018</v>
      </c>
      <c r="D88" s="179" t="s">
        <v>63</v>
      </c>
      <c r="E88" s="180" t="s">
        <v>45</v>
      </c>
      <c r="F88" s="182" t="s">
        <v>23</v>
      </c>
      <c r="G88" s="91" t="s">
        <v>201</v>
      </c>
      <c r="H88" s="356" t="s">
        <v>488</v>
      </c>
      <c r="I88" s="184">
        <v>34</v>
      </c>
      <c r="J88" s="184">
        <v>2497</v>
      </c>
      <c r="K88" s="94">
        <v>5.7728000000000002</v>
      </c>
      <c r="L88" s="95">
        <f>118417.83*K88</f>
        <v>683602.44902399997</v>
      </c>
      <c r="M88" s="99" t="s">
        <v>202</v>
      </c>
      <c r="N88" s="21"/>
    </row>
    <row r="89" spans="1:14" s="22" customFormat="1" ht="21.75" customHeight="1" x14ac:dyDescent="0.2">
      <c r="A89" s="340">
        <v>1694</v>
      </c>
      <c r="B89" s="353" t="s">
        <v>203</v>
      </c>
      <c r="C89" s="336">
        <v>2016</v>
      </c>
      <c r="D89" s="341" t="s">
        <v>155</v>
      </c>
      <c r="E89" s="336">
        <v>2019</v>
      </c>
      <c r="F89" s="337" t="s">
        <v>72</v>
      </c>
      <c r="G89" s="91" t="s">
        <v>73</v>
      </c>
      <c r="H89" s="338" t="s">
        <v>13</v>
      </c>
      <c r="I89" s="342">
        <v>35</v>
      </c>
      <c r="J89" s="342">
        <v>2498</v>
      </c>
      <c r="K89" s="94">
        <v>5.7899000000000003</v>
      </c>
      <c r="L89" s="95">
        <f>44990*K89</f>
        <v>260487.60100000002</v>
      </c>
      <c r="M89" s="99" t="s">
        <v>202</v>
      </c>
      <c r="N89" s="21"/>
    </row>
    <row r="90" spans="1:14" s="22" customFormat="1" ht="24" customHeight="1" x14ac:dyDescent="0.2">
      <c r="A90" s="152">
        <v>1695</v>
      </c>
      <c r="B90" s="359" t="s">
        <v>204</v>
      </c>
      <c r="C90" s="153">
        <v>2016</v>
      </c>
      <c r="D90" s="154" t="s">
        <v>155</v>
      </c>
      <c r="E90" s="153">
        <v>2019</v>
      </c>
      <c r="F90" s="157" t="s">
        <v>72</v>
      </c>
      <c r="G90" s="67" t="s">
        <v>73</v>
      </c>
      <c r="H90" s="158" t="s">
        <v>13</v>
      </c>
      <c r="I90" s="151">
        <v>36</v>
      </c>
      <c r="J90" s="151">
        <v>2499</v>
      </c>
      <c r="K90" s="65">
        <v>5.7899000000000003</v>
      </c>
      <c r="L90" s="66">
        <f>44990*K90</f>
        <v>260487.60100000002</v>
      </c>
      <c r="M90" s="124" t="s">
        <v>202</v>
      </c>
      <c r="N90" s="21"/>
    </row>
    <row r="91" spans="1:14" s="22" customFormat="1" ht="64.5" customHeight="1" x14ac:dyDescent="0.2">
      <c r="A91" s="220">
        <v>1696</v>
      </c>
      <c r="B91" s="353" t="s">
        <v>205</v>
      </c>
      <c r="C91" s="221">
        <v>2011</v>
      </c>
      <c r="D91" s="102" t="s">
        <v>206</v>
      </c>
      <c r="E91" s="221">
        <v>2019</v>
      </c>
      <c r="F91" s="222" t="s">
        <v>26</v>
      </c>
      <c r="G91" s="91" t="s">
        <v>207</v>
      </c>
      <c r="H91" s="223" t="s">
        <v>214</v>
      </c>
      <c r="I91" s="224">
        <v>37</v>
      </c>
      <c r="J91" s="224">
        <v>2500</v>
      </c>
      <c r="K91" s="94">
        <v>358.72</v>
      </c>
      <c r="L91" s="95">
        <f>8140*K91</f>
        <v>2919980.8000000003</v>
      </c>
      <c r="M91" s="99" t="s">
        <v>208</v>
      </c>
      <c r="N91" s="21"/>
    </row>
    <row r="92" spans="1:14" s="22" customFormat="1" ht="24" customHeight="1" x14ac:dyDescent="0.2">
      <c r="A92" s="378"/>
      <c r="B92" s="381" t="s">
        <v>210</v>
      </c>
      <c r="C92" s="381">
        <v>2006</v>
      </c>
      <c r="D92" s="384" t="s">
        <v>211</v>
      </c>
      <c r="E92" s="381" t="s">
        <v>45</v>
      </c>
      <c r="F92" s="385" t="s">
        <v>22</v>
      </c>
      <c r="G92" s="67" t="s">
        <v>60</v>
      </c>
      <c r="H92" s="389" t="s">
        <v>95</v>
      </c>
      <c r="I92" s="386">
        <v>38</v>
      </c>
      <c r="J92" s="386">
        <v>2501</v>
      </c>
      <c r="K92" s="65">
        <v>378.3</v>
      </c>
      <c r="L92" s="66">
        <f>9000*K92</f>
        <v>3404700</v>
      </c>
      <c r="M92" s="124" t="s">
        <v>209</v>
      </c>
      <c r="N92" s="21"/>
    </row>
    <row r="93" spans="1:14" s="22" customFormat="1" ht="21" customHeight="1" x14ac:dyDescent="0.2">
      <c r="A93" s="380"/>
      <c r="B93" s="383"/>
      <c r="C93" s="383"/>
      <c r="D93" s="383"/>
      <c r="E93" s="383"/>
      <c r="F93" s="407"/>
      <c r="G93" s="67" t="s">
        <v>222</v>
      </c>
      <c r="H93" s="390"/>
      <c r="I93" s="388"/>
      <c r="J93" s="388"/>
      <c r="K93" s="65">
        <v>378.3</v>
      </c>
      <c r="L93" s="66">
        <f>6000*K93</f>
        <v>2269800</v>
      </c>
      <c r="M93" s="124" t="s">
        <v>219</v>
      </c>
      <c r="N93" s="21"/>
    </row>
    <row r="94" spans="1:14" s="22" customFormat="1" ht="52.5" customHeight="1" x14ac:dyDescent="0.2">
      <c r="A94" s="206"/>
      <c r="B94" s="353" t="s">
        <v>97</v>
      </c>
      <c r="C94" s="207">
        <v>2010</v>
      </c>
      <c r="D94" s="212" t="s">
        <v>98</v>
      </c>
      <c r="E94" s="207" t="s">
        <v>92</v>
      </c>
      <c r="F94" s="208" t="s">
        <v>99</v>
      </c>
      <c r="G94" s="91" t="s">
        <v>296</v>
      </c>
      <c r="H94" s="209" t="s">
        <v>13</v>
      </c>
      <c r="I94" s="211"/>
      <c r="J94" s="211"/>
      <c r="K94" s="94">
        <v>5.8422000000000001</v>
      </c>
      <c r="L94" s="95">
        <f>7770*K94</f>
        <v>45393.894</v>
      </c>
      <c r="M94" s="99" t="s">
        <v>216</v>
      </c>
      <c r="N94" s="21"/>
    </row>
    <row r="95" spans="1:14" s="22" customFormat="1" ht="54.75" customHeight="1" x14ac:dyDescent="0.2">
      <c r="A95" s="206"/>
      <c r="B95" s="353" t="s">
        <v>217</v>
      </c>
      <c r="C95" s="207">
        <v>2003</v>
      </c>
      <c r="D95" s="212" t="s">
        <v>98</v>
      </c>
      <c r="E95" s="207" t="s">
        <v>134</v>
      </c>
      <c r="F95" s="208" t="s">
        <v>99</v>
      </c>
      <c r="G95" s="91" t="s">
        <v>295</v>
      </c>
      <c r="H95" s="209" t="s">
        <v>13</v>
      </c>
      <c r="I95" s="211">
        <v>39</v>
      </c>
      <c r="J95" s="211">
        <v>2502</v>
      </c>
      <c r="K95" s="94">
        <v>5.8250000000000002</v>
      </c>
      <c r="L95" s="95">
        <f>225290*K95</f>
        <v>1312314.25</v>
      </c>
      <c r="M95" s="99" t="s">
        <v>216</v>
      </c>
      <c r="N95" s="21"/>
    </row>
    <row r="96" spans="1:14" s="22" customFormat="1" ht="18" customHeight="1" x14ac:dyDescent="0.2">
      <c r="A96" s="378">
        <v>1697</v>
      </c>
      <c r="B96" s="381" t="s">
        <v>220</v>
      </c>
      <c r="C96" s="381">
        <v>2013</v>
      </c>
      <c r="D96" s="384" t="s">
        <v>221</v>
      </c>
      <c r="E96" s="381">
        <v>2019</v>
      </c>
      <c r="F96" s="385" t="s">
        <v>22</v>
      </c>
      <c r="G96" s="67" t="s">
        <v>60</v>
      </c>
      <c r="H96" s="232" t="s">
        <v>13</v>
      </c>
      <c r="I96" s="386">
        <v>40</v>
      </c>
      <c r="J96" s="386">
        <v>2503</v>
      </c>
      <c r="K96" s="65">
        <v>358.72</v>
      </c>
      <c r="L96" s="66">
        <f>9000*K96</f>
        <v>3228480.0000000005</v>
      </c>
      <c r="M96" s="124" t="s">
        <v>219</v>
      </c>
      <c r="N96" s="21"/>
    </row>
    <row r="97" spans="1:14" s="22" customFormat="1" ht="17.25" customHeight="1" x14ac:dyDescent="0.2">
      <c r="A97" s="379"/>
      <c r="B97" s="382"/>
      <c r="C97" s="382"/>
      <c r="D97" s="382"/>
      <c r="E97" s="382"/>
      <c r="F97" s="382"/>
      <c r="G97" s="67" t="s">
        <v>60</v>
      </c>
      <c r="H97" s="226" t="s">
        <v>175</v>
      </c>
      <c r="I97" s="387"/>
      <c r="J97" s="387"/>
      <c r="K97" s="65">
        <v>375.01</v>
      </c>
      <c r="L97" s="66">
        <f>9000*K97</f>
        <v>3375090</v>
      </c>
      <c r="M97" s="124" t="s">
        <v>248</v>
      </c>
      <c r="N97" s="21"/>
    </row>
    <row r="98" spans="1:14" s="22" customFormat="1" ht="31.5" customHeight="1" x14ac:dyDescent="0.2">
      <c r="A98" s="380"/>
      <c r="B98" s="383"/>
      <c r="C98" s="383"/>
      <c r="D98" s="383"/>
      <c r="E98" s="383"/>
      <c r="F98" s="383"/>
      <c r="G98" s="67" t="s">
        <v>222</v>
      </c>
      <c r="H98" s="234" t="s">
        <v>13</v>
      </c>
      <c r="I98" s="388"/>
      <c r="J98" s="388"/>
      <c r="K98" s="65">
        <v>375.01</v>
      </c>
      <c r="L98" s="66">
        <f>6000*K98</f>
        <v>2250060</v>
      </c>
      <c r="M98" s="124" t="s">
        <v>298</v>
      </c>
      <c r="N98" s="21"/>
    </row>
    <row r="99" spans="1:14" s="22" customFormat="1" ht="27.75" customHeight="1" x14ac:dyDescent="0.2">
      <c r="A99" s="220">
        <v>1698</v>
      </c>
      <c r="B99" s="353" t="s">
        <v>223</v>
      </c>
      <c r="C99" s="221">
        <v>2015</v>
      </c>
      <c r="D99" s="225" t="s">
        <v>25</v>
      </c>
      <c r="E99" s="221">
        <v>2019</v>
      </c>
      <c r="F99" s="222" t="s">
        <v>37</v>
      </c>
      <c r="G99" s="91" t="s">
        <v>224</v>
      </c>
      <c r="H99" s="223" t="s">
        <v>77</v>
      </c>
      <c r="I99" s="224">
        <v>41</v>
      </c>
      <c r="J99" s="224">
        <v>2504</v>
      </c>
      <c r="K99" s="94">
        <v>376.75</v>
      </c>
      <c r="L99" s="95">
        <f>536*K99</f>
        <v>201938</v>
      </c>
      <c r="M99" s="99" t="s">
        <v>225</v>
      </c>
      <c r="N99" s="21"/>
    </row>
    <row r="100" spans="1:14" s="22" customFormat="1" ht="30" customHeight="1" x14ac:dyDescent="0.2">
      <c r="A100" s="171"/>
      <c r="B100" s="359" t="s">
        <v>226</v>
      </c>
      <c r="C100" s="172">
        <v>2014</v>
      </c>
      <c r="D100" s="177" t="s">
        <v>25</v>
      </c>
      <c r="E100" s="178" t="s">
        <v>190</v>
      </c>
      <c r="F100" s="268" t="s">
        <v>227</v>
      </c>
      <c r="G100" s="67" t="s">
        <v>228</v>
      </c>
      <c r="H100" s="226" t="s">
        <v>175</v>
      </c>
      <c r="I100" s="170">
        <v>42</v>
      </c>
      <c r="J100" s="170">
        <v>2505</v>
      </c>
      <c r="K100" s="65">
        <v>56.65</v>
      </c>
      <c r="L100" s="66">
        <f>6390.47*K100</f>
        <v>362020.12550000002</v>
      </c>
      <c r="M100" s="124" t="s">
        <v>229</v>
      </c>
      <c r="N100" s="21"/>
    </row>
    <row r="101" spans="1:14" s="22" customFormat="1" ht="51" customHeight="1" x14ac:dyDescent="0.2">
      <c r="A101" s="181"/>
      <c r="B101" s="353" t="s">
        <v>230</v>
      </c>
      <c r="C101" s="180">
        <v>2008</v>
      </c>
      <c r="D101" s="179" t="s">
        <v>25</v>
      </c>
      <c r="E101" s="180" t="s">
        <v>80</v>
      </c>
      <c r="F101" s="182" t="s">
        <v>117</v>
      </c>
      <c r="G101" s="91" t="s">
        <v>231</v>
      </c>
      <c r="H101" s="183" t="s">
        <v>77</v>
      </c>
      <c r="I101" s="184">
        <v>43</v>
      </c>
      <c r="J101" s="184">
        <v>2506</v>
      </c>
      <c r="K101" s="94"/>
      <c r="L101" s="95">
        <v>169800</v>
      </c>
      <c r="M101" s="99" t="s">
        <v>232</v>
      </c>
      <c r="N101" s="21"/>
    </row>
    <row r="102" spans="1:14" s="22" customFormat="1" ht="52.5" customHeight="1" x14ac:dyDescent="0.2">
      <c r="A102" s="181"/>
      <c r="B102" s="353" t="s">
        <v>233</v>
      </c>
      <c r="C102" s="180">
        <v>2002</v>
      </c>
      <c r="D102" s="179" t="s">
        <v>247</v>
      </c>
      <c r="E102" s="180" t="s">
        <v>246</v>
      </c>
      <c r="F102" s="182" t="s">
        <v>234</v>
      </c>
      <c r="G102" s="91" t="s">
        <v>235</v>
      </c>
      <c r="H102" s="183" t="s">
        <v>13</v>
      </c>
      <c r="I102" s="184">
        <v>44</v>
      </c>
      <c r="J102" s="184">
        <v>2507</v>
      </c>
      <c r="K102" s="94">
        <v>431.39</v>
      </c>
      <c r="L102" s="95">
        <f>1552.54*K102</f>
        <v>669750.23060000001</v>
      </c>
      <c r="M102" s="99" t="s">
        <v>232</v>
      </c>
      <c r="N102" s="21"/>
    </row>
    <row r="103" spans="1:14" s="22" customFormat="1" ht="65.25" customHeight="1" x14ac:dyDescent="0.2">
      <c r="A103" s="306">
        <v>1699</v>
      </c>
      <c r="B103" s="359" t="s">
        <v>399</v>
      </c>
      <c r="C103" s="303">
        <v>2005</v>
      </c>
      <c r="D103" s="310" t="s">
        <v>400</v>
      </c>
      <c r="E103" s="303">
        <v>2019</v>
      </c>
      <c r="F103" s="301" t="s">
        <v>401</v>
      </c>
      <c r="G103" s="67" t="s">
        <v>402</v>
      </c>
      <c r="H103" s="304" t="s">
        <v>13</v>
      </c>
      <c r="I103" s="308">
        <v>45</v>
      </c>
      <c r="J103" s="308">
        <v>2508</v>
      </c>
      <c r="K103" s="65"/>
      <c r="L103" s="66">
        <v>750000</v>
      </c>
      <c r="M103" s="124" t="s">
        <v>232</v>
      </c>
      <c r="N103" s="21"/>
    </row>
    <row r="104" spans="1:14" s="22" customFormat="1" ht="66" customHeight="1" x14ac:dyDescent="0.2">
      <c r="A104" s="306">
        <v>1700</v>
      </c>
      <c r="B104" s="359" t="s">
        <v>403</v>
      </c>
      <c r="C104" s="303">
        <v>2010</v>
      </c>
      <c r="D104" s="310" t="s">
        <v>404</v>
      </c>
      <c r="E104" s="303">
        <v>2019</v>
      </c>
      <c r="F104" s="301" t="s">
        <v>401</v>
      </c>
      <c r="G104" s="67" t="s">
        <v>402</v>
      </c>
      <c r="H104" s="304" t="s">
        <v>13</v>
      </c>
      <c r="I104" s="308">
        <v>46</v>
      </c>
      <c r="J104" s="308">
        <v>2509</v>
      </c>
      <c r="K104" s="65"/>
      <c r="L104" s="66">
        <v>750000</v>
      </c>
      <c r="M104" s="124" t="s">
        <v>232</v>
      </c>
      <c r="N104" s="21"/>
    </row>
    <row r="105" spans="1:14" s="22" customFormat="1" ht="43.5" customHeight="1" x14ac:dyDescent="0.2">
      <c r="A105" s="306"/>
      <c r="B105" s="359" t="s">
        <v>405</v>
      </c>
      <c r="C105" s="303">
        <v>2016</v>
      </c>
      <c r="D105" s="310" t="s">
        <v>406</v>
      </c>
      <c r="E105" s="303" t="s">
        <v>45</v>
      </c>
      <c r="F105" s="301" t="s">
        <v>401</v>
      </c>
      <c r="G105" s="67" t="s">
        <v>402</v>
      </c>
      <c r="H105" s="304" t="s">
        <v>13</v>
      </c>
      <c r="I105" s="308">
        <v>47</v>
      </c>
      <c r="J105" s="308">
        <v>2510</v>
      </c>
      <c r="K105" s="65"/>
      <c r="L105" s="66">
        <v>750000</v>
      </c>
      <c r="M105" s="124" t="s">
        <v>232</v>
      </c>
      <c r="N105" s="21"/>
    </row>
    <row r="106" spans="1:14" s="22" customFormat="1" ht="77.25" customHeight="1" x14ac:dyDescent="0.2">
      <c r="A106" s="306">
        <v>1701</v>
      </c>
      <c r="B106" s="359" t="s">
        <v>407</v>
      </c>
      <c r="C106" s="303">
        <v>2011</v>
      </c>
      <c r="D106" s="310" t="s">
        <v>408</v>
      </c>
      <c r="E106" s="303">
        <v>2019</v>
      </c>
      <c r="F106" s="301" t="s">
        <v>401</v>
      </c>
      <c r="G106" s="67" t="s">
        <v>402</v>
      </c>
      <c r="H106" s="304" t="s">
        <v>13</v>
      </c>
      <c r="I106" s="308">
        <v>48</v>
      </c>
      <c r="J106" s="308">
        <v>2511</v>
      </c>
      <c r="K106" s="65"/>
      <c r="L106" s="66">
        <v>750000</v>
      </c>
      <c r="M106" s="124" t="s">
        <v>232</v>
      </c>
      <c r="N106" s="21"/>
    </row>
    <row r="107" spans="1:14" s="22" customFormat="1" ht="53.25" customHeight="1" x14ac:dyDescent="0.2">
      <c r="A107" s="306">
        <v>1702</v>
      </c>
      <c r="B107" s="359" t="s">
        <v>409</v>
      </c>
      <c r="C107" s="303">
        <v>2015</v>
      </c>
      <c r="D107" s="310" t="s">
        <v>410</v>
      </c>
      <c r="E107" s="303">
        <v>2019</v>
      </c>
      <c r="F107" s="301" t="s">
        <v>401</v>
      </c>
      <c r="G107" s="67" t="s">
        <v>402</v>
      </c>
      <c r="H107" s="304" t="s">
        <v>13</v>
      </c>
      <c r="I107" s="308">
        <v>49</v>
      </c>
      <c r="J107" s="308">
        <v>2512</v>
      </c>
      <c r="K107" s="65"/>
      <c r="L107" s="66">
        <v>750000</v>
      </c>
      <c r="M107" s="124" t="s">
        <v>232</v>
      </c>
      <c r="N107" s="21"/>
    </row>
    <row r="108" spans="1:14" s="22" customFormat="1" ht="29.25" customHeight="1" x14ac:dyDescent="0.2">
      <c r="A108" s="171"/>
      <c r="B108" s="359" t="s">
        <v>236</v>
      </c>
      <c r="C108" s="172">
        <v>2012</v>
      </c>
      <c r="D108" s="174" t="s">
        <v>237</v>
      </c>
      <c r="E108" s="176" t="s">
        <v>45</v>
      </c>
      <c r="F108" s="175" t="s">
        <v>22</v>
      </c>
      <c r="G108" s="67" t="s">
        <v>238</v>
      </c>
      <c r="H108" s="169" t="s">
        <v>13</v>
      </c>
      <c r="I108" s="170">
        <v>50</v>
      </c>
      <c r="J108" s="170">
        <v>2513</v>
      </c>
      <c r="K108" s="65">
        <v>358.72</v>
      </c>
      <c r="L108" s="66">
        <f>3500*K108</f>
        <v>1255520</v>
      </c>
      <c r="M108" s="124" t="s">
        <v>239</v>
      </c>
      <c r="N108" s="21"/>
    </row>
    <row r="109" spans="1:14" s="22" customFormat="1" ht="76.5" customHeight="1" x14ac:dyDescent="0.2">
      <c r="A109" s="171"/>
      <c r="B109" s="359" t="s">
        <v>240</v>
      </c>
      <c r="C109" s="172">
        <v>2014</v>
      </c>
      <c r="D109" s="174" t="s">
        <v>241</v>
      </c>
      <c r="E109" s="176" t="s">
        <v>45</v>
      </c>
      <c r="F109" s="168" t="s">
        <v>22</v>
      </c>
      <c r="G109" s="67" t="s">
        <v>222</v>
      </c>
      <c r="H109" s="226" t="s">
        <v>175</v>
      </c>
      <c r="I109" s="170">
        <v>51</v>
      </c>
      <c r="J109" s="170">
        <v>2514</v>
      </c>
      <c r="K109" s="65">
        <v>358.72</v>
      </c>
      <c r="L109" s="66">
        <f>6000*K109</f>
        <v>2152320</v>
      </c>
      <c r="M109" s="124" t="s">
        <v>239</v>
      </c>
      <c r="N109" s="21"/>
    </row>
    <row r="110" spans="1:14" s="22" customFormat="1" ht="55.5" customHeight="1" x14ac:dyDescent="0.2">
      <c r="A110" s="173">
        <v>1703</v>
      </c>
      <c r="B110" s="359" t="s">
        <v>242</v>
      </c>
      <c r="C110" s="172">
        <v>2009</v>
      </c>
      <c r="D110" s="80" t="s">
        <v>243</v>
      </c>
      <c r="E110" s="176" t="s">
        <v>45</v>
      </c>
      <c r="F110" s="175" t="s">
        <v>244</v>
      </c>
      <c r="G110" s="67" t="s">
        <v>245</v>
      </c>
      <c r="H110" s="169" t="s">
        <v>13</v>
      </c>
      <c r="I110" s="170">
        <v>52</v>
      </c>
      <c r="J110" s="170">
        <v>2515</v>
      </c>
      <c r="K110" s="65">
        <v>5.9119999999999999</v>
      </c>
      <c r="L110" s="66">
        <f>478200*K110</f>
        <v>2827118.4</v>
      </c>
      <c r="M110" s="124" t="s">
        <v>239</v>
      </c>
      <c r="N110" s="21"/>
    </row>
    <row r="111" spans="1:14" s="22" customFormat="1" ht="30" customHeight="1" x14ac:dyDescent="0.2">
      <c r="A111" s="307">
        <v>1704</v>
      </c>
      <c r="B111" s="353" t="s">
        <v>255</v>
      </c>
      <c r="C111" s="299">
        <v>2018</v>
      </c>
      <c r="D111" s="102" t="s">
        <v>256</v>
      </c>
      <c r="E111" s="299">
        <v>2019</v>
      </c>
      <c r="F111" s="300" t="s">
        <v>55</v>
      </c>
      <c r="G111" s="91" t="s">
        <v>411</v>
      </c>
      <c r="H111" s="298" t="s">
        <v>13</v>
      </c>
      <c r="I111" s="309">
        <v>53</v>
      </c>
      <c r="J111" s="309">
        <v>2516</v>
      </c>
      <c r="K111" s="94"/>
      <c r="L111" s="95">
        <v>205489</v>
      </c>
      <c r="M111" s="99" t="s">
        <v>412</v>
      </c>
      <c r="N111" s="21"/>
    </row>
    <row r="112" spans="1:14" s="22" customFormat="1" ht="40.5" customHeight="1" x14ac:dyDescent="0.2">
      <c r="A112" s="307">
        <v>1705</v>
      </c>
      <c r="B112" s="353" t="s">
        <v>413</v>
      </c>
      <c r="C112" s="299">
        <v>2001</v>
      </c>
      <c r="D112" s="102" t="s">
        <v>414</v>
      </c>
      <c r="E112" s="299">
        <v>2019</v>
      </c>
      <c r="F112" s="300" t="s">
        <v>55</v>
      </c>
      <c r="G112" s="91" t="s">
        <v>415</v>
      </c>
      <c r="H112" s="298" t="s">
        <v>13</v>
      </c>
      <c r="I112" s="309">
        <v>54</v>
      </c>
      <c r="J112" s="309">
        <v>2517</v>
      </c>
      <c r="K112" s="94"/>
      <c r="L112" s="95">
        <v>1549672</v>
      </c>
      <c r="M112" s="99" t="s">
        <v>412</v>
      </c>
      <c r="N112" s="21"/>
    </row>
    <row r="113" spans="1:14" s="22" customFormat="1" ht="56.25" customHeight="1" x14ac:dyDescent="0.2">
      <c r="A113" s="374">
        <v>1706</v>
      </c>
      <c r="B113" s="364" t="s">
        <v>416</v>
      </c>
      <c r="C113" s="364"/>
      <c r="D113" s="375" t="s">
        <v>417</v>
      </c>
      <c r="E113" s="364">
        <v>2019</v>
      </c>
      <c r="F113" s="366" t="s">
        <v>55</v>
      </c>
      <c r="G113" s="91" t="s">
        <v>418</v>
      </c>
      <c r="H113" s="370" t="s">
        <v>13</v>
      </c>
      <c r="I113" s="377">
        <v>55</v>
      </c>
      <c r="J113" s="377">
        <v>2518</v>
      </c>
      <c r="K113" s="94"/>
      <c r="L113" s="95">
        <v>436600</v>
      </c>
      <c r="M113" s="99" t="s">
        <v>412</v>
      </c>
      <c r="N113" s="21"/>
    </row>
    <row r="114" spans="1:14" s="22" customFormat="1" ht="19.5" customHeight="1" x14ac:dyDescent="0.2">
      <c r="A114" s="391"/>
      <c r="B114" s="365"/>
      <c r="C114" s="365"/>
      <c r="D114" s="376"/>
      <c r="E114" s="365"/>
      <c r="F114" s="367"/>
      <c r="G114" s="91" t="s">
        <v>419</v>
      </c>
      <c r="H114" s="371"/>
      <c r="I114" s="399"/>
      <c r="J114" s="399"/>
      <c r="K114" s="94"/>
      <c r="L114" s="95">
        <v>467130</v>
      </c>
      <c r="M114" s="99" t="s">
        <v>348</v>
      </c>
      <c r="N114" s="21"/>
    </row>
    <row r="115" spans="1:14" s="22" customFormat="1" ht="43.5" customHeight="1" x14ac:dyDescent="0.2">
      <c r="A115" s="289">
        <v>1707</v>
      </c>
      <c r="B115" s="353" t="s">
        <v>249</v>
      </c>
      <c r="C115" s="290">
        <v>2017</v>
      </c>
      <c r="D115" s="102" t="s">
        <v>250</v>
      </c>
      <c r="E115" s="290">
        <v>2019</v>
      </c>
      <c r="F115" s="292" t="s">
        <v>251</v>
      </c>
      <c r="G115" s="91" t="s">
        <v>396</v>
      </c>
      <c r="H115" s="293" t="s">
        <v>13</v>
      </c>
      <c r="I115" s="296">
        <v>56</v>
      </c>
      <c r="J115" s="296">
        <v>2519</v>
      </c>
      <c r="K115" s="94">
        <v>5.9943999999999997</v>
      </c>
      <c r="L115" s="95">
        <f>70000*K115</f>
        <v>419608</v>
      </c>
      <c r="M115" s="99" t="s">
        <v>248</v>
      </c>
      <c r="N115" s="21"/>
    </row>
    <row r="116" spans="1:14" s="22" customFormat="1" ht="26.25" customHeight="1" x14ac:dyDescent="0.2">
      <c r="A116" s="378"/>
      <c r="B116" s="381" t="s">
        <v>182</v>
      </c>
      <c r="C116" s="381">
        <v>2004</v>
      </c>
      <c r="D116" s="384" t="s">
        <v>183</v>
      </c>
      <c r="E116" s="381" t="s">
        <v>254</v>
      </c>
      <c r="F116" s="385" t="s">
        <v>252</v>
      </c>
      <c r="G116" s="67" t="s">
        <v>218</v>
      </c>
      <c r="H116" s="389" t="s">
        <v>13</v>
      </c>
      <c r="I116" s="386"/>
      <c r="J116" s="386"/>
      <c r="K116" s="65">
        <v>5.9199000000000002</v>
      </c>
      <c r="L116" s="66">
        <f>500000*K116</f>
        <v>2959950</v>
      </c>
      <c r="M116" s="124" t="s">
        <v>253</v>
      </c>
      <c r="N116" s="21"/>
    </row>
    <row r="117" spans="1:14" s="22" customFormat="1" ht="37.5" customHeight="1" x14ac:dyDescent="0.2">
      <c r="A117" s="380"/>
      <c r="B117" s="383"/>
      <c r="C117" s="383"/>
      <c r="D117" s="383"/>
      <c r="E117" s="383"/>
      <c r="F117" s="383"/>
      <c r="G117" s="67" t="s">
        <v>278</v>
      </c>
      <c r="H117" s="390"/>
      <c r="I117" s="388"/>
      <c r="J117" s="388"/>
      <c r="K117" s="65">
        <v>5.9154999999999998</v>
      </c>
      <c r="L117" s="66">
        <f>191410*K117</f>
        <v>1132285.855</v>
      </c>
      <c r="M117" s="124" t="s">
        <v>277</v>
      </c>
      <c r="N117" s="21"/>
    </row>
    <row r="118" spans="1:14" s="22" customFormat="1" ht="23.25" customHeight="1" x14ac:dyDescent="0.2">
      <c r="A118" s="374"/>
      <c r="B118" s="364" t="s">
        <v>255</v>
      </c>
      <c r="C118" s="364">
        <v>2018</v>
      </c>
      <c r="D118" s="375" t="s">
        <v>256</v>
      </c>
      <c r="E118" s="364" t="s">
        <v>80</v>
      </c>
      <c r="F118" s="366" t="s">
        <v>257</v>
      </c>
      <c r="G118" s="91" t="s">
        <v>258</v>
      </c>
      <c r="H118" s="370" t="s">
        <v>313</v>
      </c>
      <c r="I118" s="377">
        <v>57</v>
      </c>
      <c r="J118" s="377">
        <v>2520</v>
      </c>
      <c r="K118" s="94">
        <v>5.9199000000000002</v>
      </c>
      <c r="L118" s="95">
        <f>160000*K118</f>
        <v>947184</v>
      </c>
      <c r="M118" s="99" t="s">
        <v>253</v>
      </c>
      <c r="N118" s="21"/>
    </row>
    <row r="119" spans="1:14" s="22" customFormat="1" ht="25.5" customHeight="1" x14ac:dyDescent="0.2">
      <c r="A119" s="363"/>
      <c r="B119" s="367"/>
      <c r="C119" s="367"/>
      <c r="D119" s="376"/>
      <c r="E119" s="367"/>
      <c r="F119" s="367"/>
      <c r="G119" s="91" t="s">
        <v>314</v>
      </c>
      <c r="H119" s="371"/>
      <c r="I119" s="373"/>
      <c r="J119" s="373"/>
      <c r="K119" s="94">
        <v>6.0225</v>
      </c>
      <c r="L119" s="95">
        <f>152200*K119</f>
        <v>916624.5</v>
      </c>
      <c r="M119" s="99" t="s">
        <v>315</v>
      </c>
      <c r="N119" s="21"/>
    </row>
    <row r="120" spans="1:14" s="22" customFormat="1" ht="66" customHeight="1" x14ac:dyDescent="0.2">
      <c r="A120" s="195"/>
      <c r="B120" s="359" t="s">
        <v>259</v>
      </c>
      <c r="C120" s="193">
        <v>2011</v>
      </c>
      <c r="D120" s="137" t="s">
        <v>155</v>
      </c>
      <c r="E120" s="193" t="s">
        <v>184</v>
      </c>
      <c r="F120" s="186" t="s">
        <v>72</v>
      </c>
      <c r="G120" s="67" t="s">
        <v>73</v>
      </c>
      <c r="H120" s="194" t="s">
        <v>13</v>
      </c>
      <c r="I120" s="185"/>
      <c r="J120" s="185"/>
      <c r="K120" s="65">
        <v>5.9409000000000001</v>
      </c>
      <c r="L120" s="66">
        <f>44990*K120</f>
        <v>267281.09100000001</v>
      </c>
      <c r="M120" s="124" t="s">
        <v>253</v>
      </c>
      <c r="N120" s="21"/>
    </row>
    <row r="121" spans="1:14" s="22" customFormat="1" ht="30" customHeight="1" x14ac:dyDescent="0.2">
      <c r="A121" s="187"/>
      <c r="B121" s="353" t="s">
        <v>260</v>
      </c>
      <c r="C121" s="188">
        <v>2013</v>
      </c>
      <c r="D121" s="192" t="s">
        <v>63</v>
      </c>
      <c r="E121" s="188" t="s">
        <v>261</v>
      </c>
      <c r="F121" s="189" t="s">
        <v>23</v>
      </c>
      <c r="G121" s="91" t="s">
        <v>262</v>
      </c>
      <c r="H121" s="190" t="s">
        <v>13</v>
      </c>
      <c r="I121" s="191">
        <v>58</v>
      </c>
      <c r="J121" s="191">
        <v>2521</v>
      </c>
      <c r="K121" s="94">
        <v>5.9409000000000001</v>
      </c>
      <c r="L121" s="95">
        <f>72371*K121</f>
        <v>429948.87390000001</v>
      </c>
      <c r="M121" s="99" t="s">
        <v>253</v>
      </c>
      <c r="N121" s="21"/>
    </row>
    <row r="122" spans="1:14" s="22" customFormat="1" ht="29.25" customHeight="1" x14ac:dyDescent="0.2">
      <c r="A122" s="187">
        <v>1708</v>
      </c>
      <c r="B122" s="353" t="s">
        <v>263</v>
      </c>
      <c r="C122" s="188">
        <v>2016</v>
      </c>
      <c r="D122" s="196" t="s">
        <v>264</v>
      </c>
      <c r="E122" s="188">
        <v>2019</v>
      </c>
      <c r="F122" s="189" t="s">
        <v>23</v>
      </c>
      <c r="G122" s="91" t="s">
        <v>265</v>
      </c>
      <c r="H122" s="190" t="s">
        <v>13</v>
      </c>
      <c r="I122" s="191">
        <v>59</v>
      </c>
      <c r="J122" s="191">
        <v>2522</v>
      </c>
      <c r="K122" s="94">
        <v>5.9199000000000002</v>
      </c>
      <c r="L122" s="95">
        <f>110466.17*K122</f>
        <v>653948.67978300003</v>
      </c>
      <c r="M122" s="99" t="s">
        <v>253</v>
      </c>
      <c r="N122" s="21"/>
    </row>
    <row r="123" spans="1:14" s="22" customFormat="1" ht="29.25" customHeight="1" x14ac:dyDescent="0.2">
      <c r="A123" s="187">
        <v>1709</v>
      </c>
      <c r="B123" s="353" t="s">
        <v>266</v>
      </c>
      <c r="C123" s="188">
        <v>2016</v>
      </c>
      <c r="D123" s="196" t="s">
        <v>264</v>
      </c>
      <c r="E123" s="188">
        <v>2019</v>
      </c>
      <c r="F123" s="189" t="s">
        <v>23</v>
      </c>
      <c r="G123" s="91" t="s">
        <v>268</v>
      </c>
      <c r="H123" s="190" t="s">
        <v>13</v>
      </c>
      <c r="I123" s="191">
        <v>60</v>
      </c>
      <c r="J123" s="191">
        <v>2523</v>
      </c>
      <c r="K123" s="94">
        <v>5.9199000000000002</v>
      </c>
      <c r="L123" s="95">
        <f>114727.17*K123</f>
        <v>679173.37368299998</v>
      </c>
      <c r="M123" s="99" t="s">
        <v>253</v>
      </c>
      <c r="N123" s="21"/>
    </row>
    <row r="124" spans="1:14" s="22" customFormat="1" ht="27.75" customHeight="1" x14ac:dyDescent="0.2">
      <c r="A124" s="187">
        <v>1710</v>
      </c>
      <c r="B124" s="353" t="s">
        <v>267</v>
      </c>
      <c r="C124" s="188">
        <v>2018</v>
      </c>
      <c r="D124" s="196" t="s">
        <v>264</v>
      </c>
      <c r="E124" s="188">
        <v>2019</v>
      </c>
      <c r="F124" s="199" t="s">
        <v>23</v>
      </c>
      <c r="G124" s="91" t="s">
        <v>269</v>
      </c>
      <c r="H124" s="190" t="s">
        <v>13</v>
      </c>
      <c r="I124" s="191">
        <v>61</v>
      </c>
      <c r="J124" s="191">
        <v>2524</v>
      </c>
      <c r="K124" s="94">
        <v>5.9199000000000002</v>
      </c>
      <c r="L124" s="95">
        <f>124284.17*K124</f>
        <v>735749.85798299999</v>
      </c>
      <c r="M124" s="99" t="s">
        <v>253</v>
      </c>
      <c r="N124" s="21"/>
    </row>
    <row r="125" spans="1:14" s="22" customFormat="1" ht="29.25" customHeight="1" x14ac:dyDescent="0.2">
      <c r="A125" s="187">
        <v>1711</v>
      </c>
      <c r="B125" s="353" t="s">
        <v>270</v>
      </c>
      <c r="C125" s="188">
        <v>2009</v>
      </c>
      <c r="D125" s="196" t="s">
        <v>264</v>
      </c>
      <c r="E125" s="188">
        <v>2019</v>
      </c>
      <c r="F125" s="189" t="s">
        <v>23</v>
      </c>
      <c r="G125" s="91" t="s">
        <v>271</v>
      </c>
      <c r="H125" s="190" t="s">
        <v>13</v>
      </c>
      <c r="I125" s="191">
        <v>62</v>
      </c>
      <c r="J125" s="191">
        <v>2525</v>
      </c>
      <c r="K125" s="94">
        <v>5.9199000000000002</v>
      </c>
      <c r="L125" s="95">
        <f>129417.84*K125</f>
        <v>766140.67101599998</v>
      </c>
      <c r="M125" s="99" t="s">
        <v>253</v>
      </c>
      <c r="N125" s="21"/>
    </row>
    <row r="126" spans="1:14" s="22" customFormat="1" ht="41.25" customHeight="1" x14ac:dyDescent="0.2">
      <c r="A126" s="206">
        <v>1712</v>
      </c>
      <c r="B126" s="353" t="s">
        <v>273</v>
      </c>
      <c r="C126" s="207">
        <v>2009</v>
      </c>
      <c r="D126" s="102" t="s">
        <v>274</v>
      </c>
      <c r="E126" s="207">
        <v>2019</v>
      </c>
      <c r="F126" s="283" t="s">
        <v>275</v>
      </c>
      <c r="G126" s="91" t="s">
        <v>276</v>
      </c>
      <c r="H126" s="209" t="s">
        <v>13</v>
      </c>
      <c r="I126" s="211">
        <v>63</v>
      </c>
      <c r="J126" s="211">
        <v>2526</v>
      </c>
      <c r="K126" s="94">
        <v>5.9177</v>
      </c>
      <c r="L126" s="95">
        <f>146335*K126</f>
        <v>865966.62950000004</v>
      </c>
      <c r="M126" s="99" t="s">
        <v>277</v>
      </c>
      <c r="N126" s="21"/>
    </row>
    <row r="127" spans="1:14" s="22" customFormat="1" ht="30" customHeight="1" x14ac:dyDescent="0.2">
      <c r="A127" s="202"/>
      <c r="B127" s="359" t="s">
        <v>279</v>
      </c>
      <c r="C127" s="200">
        <v>2010</v>
      </c>
      <c r="D127" s="137" t="s">
        <v>280</v>
      </c>
      <c r="E127" s="200" t="s">
        <v>45</v>
      </c>
      <c r="F127" s="198" t="s">
        <v>281</v>
      </c>
      <c r="G127" s="67" t="s">
        <v>282</v>
      </c>
      <c r="H127" s="201" t="s">
        <v>13</v>
      </c>
      <c r="I127" s="197">
        <v>64</v>
      </c>
      <c r="J127" s="197">
        <v>2527</v>
      </c>
      <c r="K127" s="65">
        <v>5.9164000000000003</v>
      </c>
      <c r="L127" s="66">
        <f>451750*K127</f>
        <v>2672733.7000000002</v>
      </c>
      <c r="M127" s="124" t="s">
        <v>277</v>
      </c>
      <c r="N127" s="21"/>
    </row>
    <row r="128" spans="1:14" s="22" customFormat="1" ht="30" customHeight="1" x14ac:dyDescent="0.2">
      <c r="A128" s="206">
        <v>1713</v>
      </c>
      <c r="B128" s="353" t="s">
        <v>328</v>
      </c>
      <c r="C128" s="207">
        <v>2017</v>
      </c>
      <c r="D128" s="102" t="s">
        <v>63</v>
      </c>
      <c r="E128" s="207">
        <v>2019</v>
      </c>
      <c r="F128" s="208" t="s">
        <v>23</v>
      </c>
      <c r="G128" s="91" t="s">
        <v>283</v>
      </c>
      <c r="H128" s="209" t="s">
        <v>13</v>
      </c>
      <c r="I128" s="211">
        <v>65</v>
      </c>
      <c r="J128" s="211">
        <v>2528</v>
      </c>
      <c r="K128" s="94">
        <v>5.9157000000000002</v>
      </c>
      <c r="L128" s="95">
        <f>111937.17*K128</f>
        <v>662186.71656900004</v>
      </c>
      <c r="M128" s="99" t="s">
        <v>277</v>
      </c>
      <c r="N128" s="21"/>
    </row>
    <row r="129" spans="1:14" s="22" customFormat="1" ht="27" customHeight="1" x14ac:dyDescent="0.2">
      <c r="A129" s="206">
        <v>1714</v>
      </c>
      <c r="B129" s="353" t="s">
        <v>284</v>
      </c>
      <c r="C129" s="207">
        <v>2018</v>
      </c>
      <c r="D129" s="102" t="s">
        <v>63</v>
      </c>
      <c r="E129" s="207">
        <v>2019</v>
      </c>
      <c r="F129" s="208" t="s">
        <v>23</v>
      </c>
      <c r="G129" s="91" t="s">
        <v>285</v>
      </c>
      <c r="H129" s="209" t="s">
        <v>13</v>
      </c>
      <c r="I129" s="211">
        <v>66</v>
      </c>
      <c r="J129" s="211">
        <v>2529</v>
      </c>
      <c r="K129" s="94">
        <v>5.9181999999999997</v>
      </c>
      <c r="L129" s="95">
        <f>112569.17*K129</f>
        <v>666206.86189399997</v>
      </c>
      <c r="M129" s="99" t="s">
        <v>277</v>
      </c>
      <c r="N129" s="21"/>
    </row>
    <row r="130" spans="1:14" s="22" customFormat="1" ht="51.75" customHeight="1" x14ac:dyDescent="0.2">
      <c r="A130" s="206">
        <v>1715</v>
      </c>
      <c r="B130" s="353" t="s">
        <v>291</v>
      </c>
      <c r="C130" s="207">
        <v>2012</v>
      </c>
      <c r="D130" s="110" t="s">
        <v>292</v>
      </c>
      <c r="E130" s="207">
        <v>2019</v>
      </c>
      <c r="F130" s="236" t="s">
        <v>23</v>
      </c>
      <c r="G130" s="91" t="s">
        <v>286</v>
      </c>
      <c r="H130" s="209" t="s">
        <v>13</v>
      </c>
      <c r="I130" s="211">
        <v>67</v>
      </c>
      <c r="J130" s="211">
        <v>2530</v>
      </c>
      <c r="K130" s="94">
        <v>5.9344999999999999</v>
      </c>
      <c r="L130" s="95">
        <f>40584*K130</f>
        <v>240845.74799999999</v>
      </c>
      <c r="M130" s="99" t="s">
        <v>277</v>
      </c>
      <c r="N130" s="21"/>
    </row>
    <row r="131" spans="1:14" s="22" customFormat="1" ht="51.75" customHeight="1" x14ac:dyDescent="0.2">
      <c r="A131" s="228">
        <v>1716</v>
      </c>
      <c r="B131" s="353" t="s">
        <v>293</v>
      </c>
      <c r="C131" s="229">
        <v>2004</v>
      </c>
      <c r="D131" s="233" t="s">
        <v>25</v>
      </c>
      <c r="E131" s="229">
        <v>2019</v>
      </c>
      <c r="F131" s="229" t="s">
        <v>117</v>
      </c>
      <c r="G131" s="91" t="s">
        <v>288</v>
      </c>
      <c r="H131" s="230" t="s">
        <v>77</v>
      </c>
      <c r="I131" s="231">
        <v>68</v>
      </c>
      <c r="J131" s="231">
        <v>2531</v>
      </c>
      <c r="K131" s="94"/>
      <c r="L131" s="95">
        <v>202100</v>
      </c>
      <c r="M131" s="99" t="s">
        <v>287</v>
      </c>
      <c r="N131" s="213"/>
    </row>
    <row r="132" spans="1:14" s="22" customFormat="1" ht="18" customHeight="1" x14ac:dyDescent="0.2">
      <c r="A132" s="277">
        <v>1717</v>
      </c>
      <c r="B132" s="353" t="s">
        <v>289</v>
      </c>
      <c r="C132" s="278">
        <v>2015</v>
      </c>
      <c r="D132" s="275" t="s">
        <v>25</v>
      </c>
      <c r="E132" s="278">
        <v>2019</v>
      </c>
      <c r="F132" s="278" t="s">
        <v>294</v>
      </c>
      <c r="G132" s="91" t="s">
        <v>290</v>
      </c>
      <c r="H132" s="279" t="s">
        <v>77</v>
      </c>
      <c r="I132" s="280">
        <v>69</v>
      </c>
      <c r="J132" s="280">
        <v>2532</v>
      </c>
      <c r="K132" s="94"/>
      <c r="L132" s="95">
        <v>132200</v>
      </c>
      <c r="M132" s="99" t="s">
        <v>287</v>
      </c>
      <c r="N132" s="21"/>
    </row>
    <row r="133" spans="1:14" s="22" customFormat="1" ht="21.75" customHeight="1" x14ac:dyDescent="0.2">
      <c r="A133" s="362">
        <v>1718</v>
      </c>
      <c r="B133" s="364" t="s">
        <v>420</v>
      </c>
      <c r="C133" s="366">
        <v>2015</v>
      </c>
      <c r="D133" s="364" t="s">
        <v>421</v>
      </c>
      <c r="E133" s="366">
        <v>2019</v>
      </c>
      <c r="F133" s="366" t="s">
        <v>55</v>
      </c>
      <c r="G133" s="91" t="s">
        <v>422</v>
      </c>
      <c r="H133" s="370" t="s">
        <v>13</v>
      </c>
      <c r="I133" s="372">
        <v>70</v>
      </c>
      <c r="J133" s="372">
        <v>2533</v>
      </c>
      <c r="K133" s="94"/>
      <c r="L133" s="95">
        <v>700000</v>
      </c>
      <c r="M133" s="99" t="s">
        <v>298</v>
      </c>
      <c r="N133" s="21"/>
    </row>
    <row r="134" spans="1:14" s="22" customFormat="1" ht="30.75" customHeight="1" x14ac:dyDescent="0.2">
      <c r="A134" s="363"/>
      <c r="B134" s="365"/>
      <c r="C134" s="367"/>
      <c r="D134" s="365"/>
      <c r="E134" s="367"/>
      <c r="F134" s="367"/>
      <c r="G134" s="91" t="s">
        <v>423</v>
      </c>
      <c r="H134" s="371"/>
      <c r="I134" s="373"/>
      <c r="J134" s="373"/>
      <c r="K134" s="94"/>
      <c r="L134" s="95">
        <v>721199</v>
      </c>
      <c r="M134" s="99" t="s">
        <v>391</v>
      </c>
      <c r="N134" s="21"/>
    </row>
    <row r="135" spans="1:14" s="22" customFormat="1" ht="90.75" customHeight="1" x14ac:dyDescent="0.2">
      <c r="A135" s="205"/>
      <c r="B135" s="359" t="s">
        <v>300</v>
      </c>
      <c r="C135" s="235">
        <v>2010</v>
      </c>
      <c r="D135" s="238" t="s">
        <v>301</v>
      </c>
      <c r="E135" s="235" t="s">
        <v>303</v>
      </c>
      <c r="F135" s="284" t="s">
        <v>22</v>
      </c>
      <c r="G135" s="67" t="s">
        <v>302</v>
      </c>
      <c r="H135" s="242" t="s">
        <v>311</v>
      </c>
      <c r="I135" s="204">
        <v>71</v>
      </c>
      <c r="J135" s="204">
        <v>2534</v>
      </c>
      <c r="K135" s="65">
        <v>375.01</v>
      </c>
      <c r="L135" s="66">
        <f>4000*K135</f>
        <v>1500040</v>
      </c>
      <c r="M135" s="124" t="s">
        <v>299</v>
      </c>
      <c r="N135" s="21"/>
    </row>
    <row r="136" spans="1:14" s="22" customFormat="1" ht="42" customHeight="1" x14ac:dyDescent="0.2">
      <c r="A136" s="240">
        <v>1719</v>
      </c>
      <c r="B136" s="353" t="s">
        <v>304</v>
      </c>
      <c r="C136" s="239">
        <v>2018</v>
      </c>
      <c r="D136" s="318" t="s">
        <v>63</v>
      </c>
      <c r="E136" s="239">
        <v>2019</v>
      </c>
      <c r="F136" s="248" t="s">
        <v>23</v>
      </c>
      <c r="G136" s="91" t="s">
        <v>305</v>
      </c>
      <c r="H136" s="243" t="s">
        <v>312</v>
      </c>
      <c r="I136" s="241">
        <v>72</v>
      </c>
      <c r="J136" s="241">
        <v>2535</v>
      </c>
      <c r="K136" s="94">
        <v>5.9607999999999999</v>
      </c>
      <c r="L136" s="95">
        <f>112433.17*K136</f>
        <v>670191.63973599998</v>
      </c>
      <c r="M136" s="99" t="s">
        <v>299</v>
      </c>
      <c r="N136" s="21"/>
    </row>
    <row r="137" spans="1:14" s="22" customFormat="1" ht="27" customHeight="1" x14ac:dyDescent="0.2">
      <c r="A137" s="205">
        <v>1720</v>
      </c>
      <c r="B137" s="359" t="s">
        <v>316</v>
      </c>
      <c r="C137" s="246">
        <v>2003</v>
      </c>
      <c r="D137" s="245" t="s">
        <v>25</v>
      </c>
      <c r="E137" s="246">
        <v>2019</v>
      </c>
      <c r="F137" s="246" t="s">
        <v>317</v>
      </c>
      <c r="G137" s="67" t="s">
        <v>318</v>
      </c>
      <c r="H137" s="244" t="s">
        <v>77</v>
      </c>
      <c r="I137" s="204">
        <v>73</v>
      </c>
      <c r="J137" s="204">
        <v>2536</v>
      </c>
      <c r="K137" s="65"/>
      <c r="L137" s="66">
        <v>153700</v>
      </c>
      <c r="M137" s="124" t="s">
        <v>319</v>
      </c>
      <c r="N137" s="21"/>
    </row>
    <row r="138" spans="1:14" s="22" customFormat="1" ht="40.5" customHeight="1" x14ac:dyDescent="0.2">
      <c r="A138" s="205"/>
      <c r="B138" s="359" t="s">
        <v>306</v>
      </c>
      <c r="C138" s="235">
        <v>2000</v>
      </c>
      <c r="D138" s="238" t="s">
        <v>307</v>
      </c>
      <c r="E138" s="235" t="s">
        <v>136</v>
      </c>
      <c r="F138" s="237" t="s">
        <v>308</v>
      </c>
      <c r="G138" s="67" t="s">
        <v>309</v>
      </c>
      <c r="H138" s="234" t="s">
        <v>13</v>
      </c>
      <c r="I138" s="204">
        <v>74</v>
      </c>
      <c r="J138" s="204">
        <v>2537</v>
      </c>
      <c r="K138" s="65">
        <v>375.01</v>
      </c>
      <c r="L138" s="66">
        <f>8500*K138</f>
        <v>3187585</v>
      </c>
      <c r="M138" s="124" t="s">
        <v>310</v>
      </c>
      <c r="N138" s="21"/>
    </row>
    <row r="139" spans="1:14" s="22" customFormat="1" ht="30" customHeight="1" x14ac:dyDescent="0.2">
      <c r="A139" s="205"/>
      <c r="B139" s="359" t="s">
        <v>43</v>
      </c>
      <c r="C139" s="235">
        <v>2001</v>
      </c>
      <c r="D139" s="238" t="s">
        <v>42</v>
      </c>
      <c r="E139" s="235" t="s">
        <v>136</v>
      </c>
      <c r="F139" s="235" t="s">
        <v>308</v>
      </c>
      <c r="G139" s="67" t="s">
        <v>309</v>
      </c>
      <c r="H139" s="234" t="s">
        <v>13</v>
      </c>
      <c r="I139" s="204">
        <v>75</v>
      </c>
      <c r="J139" s="204">
        <v>2538</v>
      </c>
      <c r="K139" s="65">
        <v>375.01</v>
      </c>
      <c r="L139" s="66">
        <f>8500*K139</f>
        <v>3187585</v>
      </c>
      <c r="M139" s="124" t="s">
        <v>310</v>
      </c>
      <c r="N139" s="21"/>
    </row>
    <row r="140" spans="1:14" s="22" customFormat="1" ht="30.75" customHeight="1" x14ac:dyDescent="0.2">
      <c r="A140" s="319"/>
      <c r="B140" s="353" t="s">
        <v>321</v>
      </c>
      <c r="C140" s="320">
        <v>2012</v>
      </c>
      <c r="D140" s="323" t="s">
        <v>320</v>
      </c>
      <c r="E140" s="320" t="s">
        <v>45</v>
      </c>
      <c r="F140" s="320" t="s">
        <v>322</v>
      </c>
      <c r="G140" s="91" t="s">
        <v>449</v>
      </c>
      <c r="H140" s="321" t="s">
        <v>13</v>
      </c>
      <c r="I140" s="322">
        <v>76</v>
      </c>
      <c r="J140" s="322">
        <v>2539</v>
      </c>
      <c r="K140" s="94">
        <v>6.0221</v>
      </c>
      <c r="L140" s="95">
        <f>247850*K140</f>
        <v>1492577.4850000001</v>
      </c>
      <c r="M140" s="99" t="s">
        <v>315</v>
      </c>
      <c r="N140" s="21"/>
    </row>
    <row r="141" spans="1:14" s="22" customFormat="1" ht="66.75" customHeight="1" x14ac:dyDescent="0.2">
      <c r="A141" s="205"/>
      <c r="B141" s="359" t="s">
        <v>323</v>
      </c>
      <c r="C141" s="246">
        <v>2009</v>
      </c>
      <c r="D141" s="247" t="s">
        <v>324</v>
      </c>
      <c r="E141" s="246" t="s">
        <v>136</v>
      </c>
      <c r="F141" s="246" t="s">
        <v>325</v>
      </c>
      <c r="G141" s="67" t="s">
        <v>326</v>
      </c>
      <c r="H141" s="346" t="s">
        <v>467</v>
      </c>
      <c r="I141" s="204">
        <v>77</v>
      </c>
      <c r="J141" s="204">
        <v>2540</v>
      </c>
      <c r="K141" s="65">
        <v>6.0099</v>
      </c>
      <c r="L141" s="66">
        <f>124600*K141</f>
        <v>748833.54</v>
      </c>
      <c r="M141" s="124" t="s">
        <v>327</v>
      </c>
      <c r="N141" s="21"/>
    </row>
    <row r="142" spans="1:14" s="22" customFormat="1" ht="19.5" customHeight="1" x14ac:dyDescent="0.2">
      <c r="A142" s="414"/>
      <c r="B142" s="381" t="s">
        <v>330</v>
      </c>
      <c r="C142" s="385">
        <v>2009</v>
      </c>
      <c r="D142" s="411" t="s">
        <v>344</v>
      </c>
      <c r="E142" s="385" t="s">
        <v>136</v>
      </c>
      <c r="F142" s="385" t="s">
        <v>147</v>
      </c>
      <c r="G142" s="67" t="s">
        <v>218</v>
      </c>
      <c r="H142" s="389" t="s">
        <v>95</v>
      </c>
      <c r="I142" s="412">
        <v>78</v>
      </c>
      <c r="J142" s="412">
        <v>2541</v>
      </c>
      <c r="K142" s="65">
        <v>5.9463999999999997</v>
      </c>
      <c r="L142" s="66">
        <f>500000*5.9464</f>
        <v>2973200</v>
      </c>
      <c r="M142" s="124" t="s">
        <v>331</v>
      </c>
      <c r="N142" s="21"/>
    </row>
    <row r="143" spans="1:14" s="22" customFormat="1" ht="26.25" customHeight="1" x14ac:dyDescent="0.2">
      <c r="A143" s="415"/>
      <c r="B143" s="406"/>
      <c r="C143" s="407"/>
      <c r="D143" s="407"/>
      <c r="E143" s="407"/>
      <c r="F143" s="407"/>
      <c r="G143" s="67" t="s">
        <v>218</v>
      </c>
      <c r="H143" s="402"/>
      <c r="I143" s="413"/>
      <c r="J143" s="413"/>
      <c r="K143" s="65">
        <v>5.9477000000000002</v>
      </c>
      <c r="L143" s="66">
        <f>500000*K143</f>
        <v>2973850</v>
      </c>
      <c r="M143" s="124" t="s">
        <v>332</v>
      </c>
      <c r="N143" s="21"/>
    </row>
    <row r="144" spans="1:14" s="22" customFormat="1" ht="54" customHeight="1" x14ac:dyDescent="0.2">
      <c r="A144" s="250">
        <v>1721</v>
      </c>
      <c r="B144" s="353" t="s">
        <v>334</v>
      </c>
      <c r="C144" s="251">
        <v>2018</v>
      </c>
      <c r="D144" s="254" t="s">
        <v>264</v>
      </c>
      <c r="E144" s="251">
        <v>2019</v>
      </c>
      <c r="F144" s="251" t="s">
        <v>23</v>
      </c>
      <c r="G144" s="91" t="s">
        <v>335</v>
      </c>
      <c r="H144" s="267" t="s">
        <v>359</v>
      </c>
      <c r="I144" s="253">
        <v>79</v>
      </c>
      <c r="J144" s="253">
        <v>2542</v>
      </c>
      <c r="K144" s="94">
        <v>5.9840999999999998</v>
      </c>
      <c r="L144" s="95">
        <f>122670.17*K144</f>
        <v>734070.56429699995</v>
      </c>
      <c r="M144" s="99" t="s">
        <v>333</v>
      </c>
      <c r="N144" s="21"/>
    </row>
    <row r="145" spans="1:14" s="22" customFormat="1" ht="17.25" customHeight="1" x14ac:dyDescent="0.2">
      <c r="A145" s="362">
        <v>1722</v>
      </c>
      <c r="B145" s="364" t="s">
        <v>336</v>
      </c>
      <c r="C145" s="366">
        <v>2018</v>
      </c>
      <c r="D145" s="368" t="s">
        <v>264</v>
      </c>
      <c r="E145" s="366">
        <v>2019</v>
      </c>
      <c r="F145" s="366" t="s">
        <v>23</v>
      </c>
      <c r="G145" s="91" t="s">
        <v>337</v>
      </c>
      <c r="H145" s="370" t="s">
        <v>13</v>
      </c>
      <c r="I145" s="372">
        <v>80</v>
      </c>
      <c r="J145" s="372">
        <v>2543</v>
      </c>
      <c r="K145" s="94">
        <v>5.9840999999999998</v>
      </c>
      <c r="L145" s="95">
        <f>116046.17*K145</f>
        <v>694431.88589699997</v>
      </c>
      <c r="M145" s="99" t="s">
        <v>333</v>
      </c>
      <c r="N145" s="21"/>
    </row>
    <row r="146" spans="1:14" s="22" customFormat="1" ht="16.5" customHeight="1" x14ac:dyDescent="0.2">
      <c r="A146" s="363"/>
      <c r="B146" s="365"/>
      <c r="C146" s="367"/>
      <c r="D146" s="367"/>
      <c r="E146" s="367"/>
      <c r="F146" s="367"/>
      <c r="G146" s="91" t="s">
        <v>338</v>
      </c>
      <c r="H146" s="371"/>
      <c r="I146" s="373"/>
      <c r="J146" s="373"/>
      <c r="K146" s="94">
        <v>5.9840999999999998</v>
      </c>
      <c r="L146" s="95">
        <f>124858.84*K146</f>
        <v>747167.78444399999</v>
      </c>
      <c r="M146" s="99" t="s">
        <v>333</v>
      </c>
      <c r="N146" s="21"/>
    </row>
    <row r="147" spans="1:14" s="22" customFormat="1" ht="27.75" customHeight="1" x14ac:dyDescent="0.2">
      <c r="A147" s="250">
        <v>1723</v>
      </c>
      <c r="B147" s="353" t="s">
        <v>339</v>
      </c>
      <c r="C147" s="251">
        <v>2013</v>
      </c>
      <c r="D147" s="254" t="s">
        <v>264</v>
      </c>
      <c r="E147" s="251">
        <v>2019</v>
      </c>
      <c r="F147" s="101" t="s">
        <v>23</v>
      </c>
      <c r="G147" s="91" t="s">
        <v>340</v>
      </c>
      <c r="H147" s="252" t="s">
        <v>13</v>
      </c>
      <c r="I147" s="253">
        <v>81</v>
      </c>
      <c r="J147" s="253">
        <v>2544</v>
      </c>
      <c r="K147" s="94">
        <v>5.9840999999999998</v>
      </c>
      <c r="L147" s="95">
        <f>125643.84*K147</f>
        <v>751865.302944</v>
      </c>
      <c r="M147" s="99" t="s">
        <v>333</v>
      </c>
      <c r="N147" s="21"/>
    </row>
    <row r="148" spans="1:14" s="22" customFormat="1" ht="30.75" customHeight="1" x14ac:dyDescent="0.2">
      <c r="A148" s="250">
        <v>1724</v>
      </c>
      <c r="B148" s="353" t="s">
        <v>341</v>
      </c>
      <c r="C148" s="251">
        <v>2018</v>
      </c>
      <c r="D148" s="254" t="s">
        <v>264</v>
      </c>
      <c r="E148" s="251">
        <v>2019</v>
      </c>
      <c r="F148" s="101" t="s">
        <v>23</v>
      </c>
      <c r="G148" s="91" t="s">
        <v>342</v>
      </c>
      <c r="H148" s="252" t="s">
        <v>13</v>
      </c>
      <c r="I148" s="253">
        <v>82</v>
      </c>
      <c r="J148" s="253">
        <v>2545</v>
      </c>
      <c r="K148" s="94">
        <v>5.9825999999999997</v>
      </c>
      <c r="L148" s="95">
        <f>126627.84*K148</f>
        <v>757563.71558399999</v>
      </c>
      <c r="M148" s="99" t="s">
        <v>333</v>
      </c>
      <c r="N148" s="21"/>
    </row>
    <row r="149" spans="1:14" s="22" customFormat="1" ht="27.75" customHeight="1" x14ac:dyDescent="0.2">
      <c r="A149" s="250"/>
      <c r="B149" s="353" t="s">
        <v>270</v>
      </c>
      <c r="C149" s="251">
        <v>2009</v>
      </c>
      <c r="D149" s="254" t="s">
        <v>264</v>
      </c>
      <c r="E149" s="251" t="s">
        <v>45</v>
      </c>
      <c r="F149" s="101" t="s">
        <v>23</v>
      </c>
      <c r="G149" s="91" t="s">
        <v>343</v>
      </c>
      <c r="H149" s="252" t="s">
        <v>13</v>
      </c>
      <c r="I149" s="253">
        <v>83</v>
      </c>
      <c r="J149" s="253">
        <v>2546</v>
      </c>
      <c r="K149" s="94">
        <v>5.9825999999999997</v>
      </c>
      <c r="L149" s="95">
        <f>123691.84*K149</f>
        <v>739998.8019839999</v>
      </c>
      <c r="M149" s="99" t="s">
        <v>333</v>
      </c>
      <c r="N149" s="108"/>
    </row>
    <row r="150" spans="1:14" s="22" customFormat="1" ht="30" customHeight="1" x14ac:dyDescent="0.2">
      <c r="A150" s="335">
        <v>1725</v>
      </c>
      <c r="B150" s="353" t="s">
        <v>346</v>
      </c>
      <c r="C150" s="337">
        <v>2016</v>
      </c>
      <c r="D150" s="343" t="s">
        <v>155</v>
      </c>
      <c r="E150" s="337">
        <v>2019</v>
      </c>
      <c r="F150" s="337" t="s">
        <v>168</v>
      </c>
      <c r="G150" s="91" t="s">
        <v>347</v>
      </c>
      <c r="H150" s="338" t="s">
        <v>13</v>
      </c>
      <c r="I150" s="339">
        <v>84</v>
      </c>
      <c r="J150" s="339">
        <v>2547</v>
      </c>
      <c r="K150" s="94">
        <v>6.0126999999999997</v>
      </c>
      <c r="L150" s="95">
        <f>35000*K150</f>
        <v>210444.5</v>
      </c>
      <c r="M150" s="99" t="s">
        <v>348</v>
      </c>
      <c r="N150" s="21"/>
    </row>
    <row r="151" spans="1:14" s="22" customFormat="1" ht="79.5" customHeight="1" x14ac:dyDescent="0.2">
      <c r="A151" s="302">
        <v>1726</v>
      </c>
      <c r="B151" s="359" t="s">
        <v>424</v>
      </c>
      <c r="C151" s="301"/>
      <c r="D151" s="311" t="s">
        <v>425</v>
      </c>
      <c r="E151" s="301">
        <v>2019</v>
      </c>
      <c r="F151" s="301" t="s">
        <v>426</v>
      </c>
      <c r="G151" s="67" t="s">
        <v>427</v>
      </c>
      <c r="H151" s="358" t="s">
        <v>491</v>
      </c>
      <c r="I151" s="305">
        <v>85</v>
      </c>
      <c r="J151" s="305">
        <v>2548</v>
      </c>
      <c r="K151" s="65"/>
      <c r="L151" s="66">
        <v>1368000</v>
      </c>
      <c r="M151" s="124" t="s">
        <v>350</v>
      </c>
      <c r="N151" s="21"/>
    </row>
    <row r="152" spans="1:14" s="22" customFormat="1" ht="42" customHeight="1" x14ac:dyDescent="0.2">
      <c r="A152" s="302">
        <v>1727</v>
      </c>
      <c r="B152" s="359" t="s">
        <v>428</v>
      </c>
      <c r="C152" s="301">
        <v>2005</v>
      </c>
      <c r="D152" s="311" t="s">
        <v>429</v>
      </c>
      <c r="E152" s="301">
        <v>2019</v>
      </c>
      <c r="F152" s="301" t="s">
        <v>426</v>
      </c>
      <c r="G152" s="67" t="s">
        <v>427</v>
      </c>
      <c r="H152" s="304" t="s">
        <v>13</v>
      </c>
      <c r="I152" s="305">
        <v>86</v>
      </c>
      <c r="J152" s="305">
        <v>2549</v>
      </c>
      <c r="K152" s="65"/>
      <c r="L152" s="66">
        <v>1368000</v>
      </c>
      <c r="M152" s="124" t="s">
        <v>350</v>
      </c>
      <c r="N152" s="21"/>
    </row>
    <row r="153" spans="1:14" s="22" customFormat="1" ht="42.75" customHeight="1" x14ac:dyDescent="0.2">
      <c r="A153" s="302">
        <v>1728</v>
      </c>
      <c r="B153" s="359" t="s">
        <v>430</v>
      </c>
      <c r="C153" s="301">
        <v>2012</v>
      </c>
      <c r="D153" s="311" t="s">
        <v>431</v>
      </c>
      <c r="E153" s="301">
        <v>2019</v>
      </c>
      <c r="F153" s="301" t="s">
        <v>426</v>
      </c>
      <c r="G153" s="67" t="s">
        <v>427</v>
      </c>
      <c r="H153" s="304" t="s">
        <v>13</v>
      </c>
      <c r="I153" s="305">
        <v>87</v>
      </c>
      <c r="J153" s="305">
        <v>2550</v>
      </c>
      <c r="K153" s="65"/>
      <c r="L153" s="66">
        <v>1368000</v>
      </c>
      <c r="M153" s="124" t="s">
        <v>350</v>
      </c>
      <c r="N153" s="21"/>
    </row>
    <row r="154" spans="1:14" s="22" customFormat="1" ht="42.75" customHeight="1" x14ac:dyDescent="0.2">
      <c r="A154" s="302">
        <v>1729</v>
      </c>
      <c r="B154" s="359" t="s">
        <v>432</v>
      </c>
      <c r="C154" s="301">
        <v>2012</v>
      </c>
      <c r="D154" s="311" t="s">
        <v>433</v>
      </c>
      <c r="E154" s="301">
        <v>2019</v>
      </c>
      <c r="F154" s="301" t="s">
        <v>426</v>
      </c>
      <c r="G154" s="67" t="s">
        <v>427</v>
      </c>
      <c r="H154" s="304" t="s">
        <v>13</v>
      </c>
      <c r="I154" s="305">
        <v>88</v>
      </c>
      <c r="J154" s="305">
        <v>2551</v>
      </c>
      <c r="K154" s="65"/>
      <c r="L154" s="66">
        <v>1368000</v>
      </c>
      <c r="M154" s="124" t="s">
        <v>350</v>
      </c>
      <c r="N154" s="21"/>
    </row>
    <row r="155" spans="1:14" s="22" customFormat="1" ht="44.25" customHeight="1" x14ac:dyDescent="0.2">
      <c r="A155" s="302">
        <v>1730</v>
      </c>
      <c r="B155" s="359" t="s">
        <v>434</v>
      </c>
      <c r="C155" s="301">
        <v>2014</v>
      </c>
      <c r="D155" s="311" t="s">
        <v>433</v>
      </c>
      <c r="E155" s="301">
        <v>2019</v>
      </c>
      <c r="F155" s="301" t="s">
        <v>426</v>
      </c>
      <c r="G155" s="67" t="s">
        <v>427</v>
      </c>
      <c r="H155" s="304" t="s">
        <v>13</v>
      </c>
      <c r="I155" s="305">
        <v>89</v>
      </c>
      <c r="J155" s="305">
        <v>2552</v>
      </c>
      <c r="K155" s="65"/>
      <c r="L155" s="66">
        <v>1368000</v>
      </c>
      <c r="M155" s="124" t="s">
        <v>350</v>
      </c>
      <c r="N155" s="21"/>
    </row>
    <row r="156" spans="1:14" s="22" customFormat="1" ht="41.25" customHeight="1" x14ac:dyDescent="0.2">
      <c r="A156" s="258"/>
      <c r="B156" s="359" t="s">
        <v>127</v>
      </c>
      <c r="C156" s="257">
        <v>2011</v>
      </c>
      <c r="D156" s="265" t="s">
        <v>128</v>
      </c>
      <c r="E156" s="257" t="s">
        <v>45</v>
      </c>
      <c r="F156" s="257" t="s">
        <v>349</v>
      </c>
      <c r="G156" s="67" t="s">
        <v>60</v>
      </c>
      <c r="H156" s="256" t="s">
        <v>13</v>
      </c>
      <c r="I156" s="259"/>
      <c r="J156" s="259"/>
      <c r="K156" s="65">
        <v>379.6</v>
      </c>
      <c r="L156" s="66">
        <f>9000*K156</f>
        <v>3416400</v>
      </c>
      <c r="M156" s="124" t="s">
        <v>350</v>
      </c>
      <c r="N156" s="21"/>
    </row>
    <row r="157" spans="1:14" s="22" customFormat="1" ht="102" customHeight="1" x14ac:dyDescent="0.2">
      <c r="A157" s="319"/>
      <c r="B157" s="353" t="s">
        <v>351</v>
      </c>
      <c r="C157" s="320">
        <v>2012</v>
      </c>
      <c r="D157" s="266" t="s">
        <v>352</v>
      </c>
      <c r="E157" s="320" t="s">
        <v>45</v>
      </c>
      <c r="F157" s="320" t="s">
        <v>349</v>
      </c>
      <c r="G157" s="91" t="s">
        <v>448</v>
      </c>
      <c r="H157" s="324" t="s">
        <v>358</v>
      </c>
      <c r="I157" s="322">
        <v>90</v>
      </c>
      <c r="J157" s="322">
        <v>2553</v>
      </c>
      <c r="K157" s="94">
        <v>379.6</v>
      </c>
      <c r="L157" s="95">
        <f>19800*K157</f>
        <v>7516080</v>
      </c>
      <c r="M157" s="99" t="s">
        <v>350</v>
      </c>
      <c r="N157" s="21"/>
    </row>
    <row r="158" spans="1:14" s="22" customFormat="1" ht="25.5" customHeight="1" x14ac:dyDescent="0.2">
      <c r="A158" s="362"/>
      <c r="B158" s="364" t="s">
        <v>127</v>
      </c>
      <c r="C158" s="366">
        <v>2011</v>
      </c>
      <c r="D158" s="368" t="s">
        <v>128</v>
      </c>
      <c r="E158" s="366" t="s">
        <v>45</v>
      </c>
      <c r="F158" s="366" t="s">
        <v>349</v>
      </c>
      <c r="G158" s="91" t="s">
        <v>93</v>
      </c>
      <c r="H158" s="370" t="s">
        <v>95</v>
      </c>
      <c r="I158" s="372">
        <v>91</v>
      </c>
      <c r="J158" s="372">
        <v>2554</v>
      </c>
      <c r="K158" s="94">
        <v>382.3</v>
      </c>
      <c r="L158" s="95">
        <f>5000*K158</f>
        <v>1911500</v>
      </c>
      <c r="M158" s="99" t="s">
        <v>350</v>
      </c>
      <c r="N158" s="21"/>
    </row>
    <row r="159" spans="1:14" s="22" customFormat="1" ht="23.25" customHeight="1" x14ac:dyDescent="0.2">
      <c r="A159" s="363"/>
      <c r="B159" s="365"/>
      <c r="C159" s="367"/>
      <c r="D159" s="369"/>
      <c r="E159" s="367"/>
      <c r="F159" s="367"/>
      <c r="G159" s="91" t="s">
        <v>153</v>
      </c>
      <c r="H159" s="371"/>
      <c r="I159" s="373"/>
      <c r="J159" s="373"/>
      <c r="K159" s="94">
        <v>381.3</v>
      </c>
      <c r="L159" s="95">
        <f>3800*K159</f>
        <v>1448940</v>
      </c>
      <c r="M159" s="99" t="s">
        <v>353</v>
      </c>
      <c r="N159" s="21"/>
    </row>
    <row r="160" spans="1:14" s="22" customFormat="1" ht="53.25" customHeight="1" x14ac:dyDescent="0.2">
      <c r="A160" s="260">
        <v>1731</v>
      </c>
      <c r="B160" s="353" t="s">
        <v>354</v>
      </c>
      <c r="C160" s="261">
        <v>2016</v>
      </c>
      <c r="D160" s="266" t="s">
        <v>25</v>
      </c>
      <c r="E160" s="261">
        <v>2019</v>
      </c>
      <c r="F160" s="283" t="s">
        <v>117</v>
      </c>
      <c r="G160" s="91" t="s">
        <v>356</v>
      </c>
      <c r="H160" s="262" t="s">
        <v>77</v>
      </c>
      <c r="I160" s="263">
        <v>92</v>
      </c>
      <c r="J160" s="263">
        <v>2555</v>
      </c>
      <c r="K160" s="94"/>
      <c r="L160" s="95">
        <v>119650</v>
      </c>
      <c r="M160" s="99" t="s">
        <v>353</v>
      </c>
      <c r="N160" s="21"/>
    </row>
    <row r="161" spans="1:14" s="22" customFormat="1" ht="53.25" customHeight="1" x14ac:dyDescent="0.2">
      <c r="A161" s="260">
        <v>1732</v>
      </c>
      <c r="B161" s="353" t="s">
        <v>355</v>
      </c>
      <c r="C161" s="261">
        <v>2016</v>
      </c>
      <c r="D161" s="266" t="s">
        <v>25</v>
      </c>
      <c r="E161" s="261">
        <v>2019</v>
      </c>
      <c r="F161" s="261" t="s">
        <v>117</v>
      </c>
      <c r="G161" s="91" t="s">
        <v>356</v>
      </c>
      <c r="H161" s="262" t="s">
        <v>77</v>
      </c>
      <c r="I161" s="263">
        <v>93</v>
      </c>
      <c r="J161" s="263">
        <v>2556</v>
      </c>
      <c r="K161" s="94"/>
      <c r="L161" s="95">
        <v>119650</v>
      </c>
      <c r="M161" s="99" t="s">
        <v>353</v>
      </c>
      <c r="N161" s="21"/>
    </row>
    <row r="162" spans="1:14" s="22" customFormat="1" ht="53.25" customHeight="1" x14ac:dyDescent="0.2">
      <c r="A162" s="277"/>
      <c r="B162" s="353" t="s">
        <v>360</v>
      </c>
      <c r="C162" s="278">
        <v>2011</v>
      </c>
      <c r="D162" s="266" t="s">
        <v>25</v>
      </c>
      <c r="E162" s="278" t="s">
        <v>80</v>
      </c>
      <c r="F162" s="278" t="s">
        <v>117</v>
      </c>
      <c r="G162" s="91" t="s">
        <v>361</v>
      </c>
      <c r="H162" s="279" t="s">
        <v>77</v>
      </c>
      <c r="I162" s="280">
        <v>94</v>
      </c>
      <c r="J162" s="280">
        <v>2557</v>
      </c>
      <c r="K162" s="94"/>
      <c r="L162" s="95">
        <v>120100</v>
      </c>
      <c r="M162" s="99" t="s">
        <v>362</v>
      </c>
      <c r="N162" s="21"/>
    </row>
    <row r="163" spans="1:14" s="22" customFormat="1" ht="20.25" customHeight="1" x14ac:dyDescent="0.2">
      <c r="A163" s="335">
        <v>1733</v>
      </c>
      <c r="B163" s="353" t="s">
        <v>363</v>
      </c>
      <c r="C163" s="337">
        <v>2017</v>
      </c>
      <c r="D163" s="343" t="s">
        <v>155</v>
      </c>
      <c r="E163" s="337">
        <v>2019</v>
      </c>
      <c r="F163" s="337" t="s">
        <v>168</v>
      </c>
      <c r="G163" s="91" t="s">
        <v>347</v>
      </c>
      <c r="H163" s="338" t="s">
        <v>13</v>
      </c>
      <c r="I163" s="339">
        <v>95</v>
      </c>
      <c r="J163" s="339">
        <v>2558</v>
      </c>
      <c r="K163" s="94">
        <v>5.93</v>
      </c>
      <c r="L163" s="95">
        <f>35000*K163</f>
        <v>207550</v>
      </c>
      <c r="M163" s="99" t="s">
        <v>362</v>
      </c>
      <c r="N163" s="21"/>
    </row>
    <row r="164" spans="1:14" s="22" customFormat="1" ht="78.75" customHeight="1" x14ac:dyDescent="0.2">
      <c r="A164" s="269">
        <v>1734</v>
      </c>
      <c r="B164" s="359" t="s">
        <v>364</v>
      </c>
      <c r="C164" s="268">
        <v>2003</v>
      </c>
      <c r="D164" s="87" t="s">
        <v>365</v>
      </c>
      <c r="E164" s="268">
        <v>2019</v>
      </c>
      <c r="F164" s="268" t="s">
        <v>366</v>
      </c>
      <c r="G164" s="67" t="s">
        <v>367</v>
      </c>
      <c r="H164" s="346" t="s">
        <v>467</v>
      </c>
      <c r="I164" s="271">
        <v>96</v>
      </c>
      <c r="J164" s="271">
        <v>2559</v>
      </c>
      <c r="K164" s="65">
        <v>379.6</v>
      </c>
      <c r="L164" s="66">
        <f>5400*K164</f>
        <v>2049840.0000000002</v>
      </c>
      <c r="M164" s="124" t="s">
        <v>362</v>
      </c>
      <c r="N164" s="108"/>
    </row>
    <row r="165" spans="1:14" s="22" customFormat="1" ht="56.25" customHeight="1" x14ac:dyDescent="0.2">
      <c r="A165" s="269"/>
      <c r="B165" s="359" t="s">
        <v>176</v>
      </c>
      <c r="C165" s="286">
        <v>2017</v>
      </c>
      <c r="D165" s="272" t="s">
        <v>177</v>
      </c>
      <c r="E165" s="268" t="s">
        <v>45</v>
      </c>
      <c r="F165" s="268" t="s">
        <v>178</v>
      </c>
      <c r="G165" s="67" t="s">
        <v>368</v>
      </c>
      <c r="H165" s="270" t="s">
        <v>13</v>
      </c>
      <c r="I165" s="271">
        <v>97</v>
      </c>
      <c r="J165" s="271">
        <v>2560</v>
      </c>
      <c r="K165" s="65">
        <v>5.93</v>
      </c>
      <c r="L165" s="66">
        <f>52850*K165</f>
        <v>313400.5</v>
      </c>
      <c r="M165" s="124" t="s">
        <v>369</v>
      </c>
      <c r="N165" s="21"/>
    </row>
    <row r="166" spans="1:14" s="22" customFormat="1" ht="31.5" customHeight="1" x14ac:dyDescent="0.2">
      <c r="A166" s="269"/>
      <c r="B166" s="359" t="s">
        <v>226</v>
      </c>
      <c r="C166" s="286">
        <v>2014</v>
      </c>
      <c r="D166" s="272" t="s">
        <v>25</v>
      </c>
      <c r="E166" s="273" t="s">
        <v>92</v>
      </c>
      <c r="F166" s="273" t="s">
        <v>227</v>
      </c>
      <c r="G166" s="67" t="s">
        <v>228</v>
      </c>
      <c r="H166" s="274" t="s">
        <v>175</v>
      </c>
      <c r="I166" s="271"/>
      <c r="J166" s="271"/>
      <c r="K166" s="65">
        <v>56.65</v>
      </c>
      <c r="L166" s="66">
        <f>6390.47*K166</f>
        <v>362020.12550000002</v>
      </c>
      <c r="M166" s="124" t="s">
        <v>370</v>
      </c>
      <c r="N166" s="21"/>
    </row>
    <row r="167" spans="1:14" s="22" customFormat="1" ht="117.75" customHeight="1" x14ac:dyDescent="0.2">
      <c r="A167" s="269">
        <v>1735</v>
      </c>
      <c r="B167" s="359" t="s">
        <v>371</v>
      </c>
      <c r="C167" s="286">
        <v>2016</v>
      </c>
      <c r="D167" s="87" t="s">
        <v>372</v>
      </c>
      <c r="E167" s="268">
        <v>2019</v>
      </c>
      <c r="F167" s="268" t="s">
        <v>72</v>
      </c>
      <c r="G167" s="67" t="s">
        <v>373</v>
      </c>
      <c r="H167" s="270" t="s">
        <v>13</v>
      </c>
      <c r="I167" s="271">
        <v>98</v>
      </c>
      <c r="J167" s="271">
        <v>2561</v>
      </c>
      <c r="K167" s="65">
        <v>5.93</v>
      </c>
      <c r="L167" s="66">
        <f>29990*K167</f>
        <v>177840.69999999998</v>
      </c>
      <c r="M167" s="124" t="s">
        <v>370</v>
      </c>
      <c r="N167" s="21"/>
    </row>
    <row r="168" spans="1:14" s="22" customFormat="1" ht="53.25" customHeight="1" x14ac:dyDescent="0.2">
      <c r="A168" s="319">
        <v>1736</v>
      </c>
      <c r="B168" s="353" t="s">
        <v>374</v>
      </c>
      <c r="C168" s="323">
        <v>2015</v>
      </c>
      <c r="D168" s="110" t="s">
        <v>375</v>
      </c>
      <c r="E168" s="320">
        <v>2019</v>
      </c>
      <c r="F168" s="320" t="s">
        <v>164</v>
      </c>
      <c r="G168" s="91" t="s">
        <v>450</v>
      </c>
      <c r="H168" s="321" t="s">
        <v>13</v>
      </c>
      <c r="I168" s="322">
        <v>99</v>
      </c>
      <c r="J168" s="322">
        <v>2562</v>
      </c>
      <c r="K168" s="94">
        <v>5.9931999999999999</v>
      </c>
      <c r="L168" s="95">
        <f>399117*K168</f>
        <v>2391988.0044</v>
      </c>
      <c r="M168" s="99" t="s">
        <v>370</v>
      </c>
      <c r="N168" s="108"/>
    </row>
    <row r="169" spans="1:14" s="22" customFormat="1" ht="78" customHeight="1" x14ac:dyDescent="0.2">
      <c r="A169" s="285">
        <v>1737</v>
      </c>
      <c r="B169" s="359" t="s">
        <v>377</v>
      </c>
      <c r="C169" s="286">
        <v>2015</v>
      </c>
      <c r="D169" s="87" t="s">
        <v>378</v>
      </c>
      <c r="E169" s="284">
        <v>2019</v>
      </c>
      <c r="F169" s="284" t="s">
        <v>275</v>
      </c>
      <c r="G169" s="67" t="s">
        <v>379</v>
      </c>
      <c r="H169" s="312" t="s">
        <v>95</v>
      </c>
      <c r="I169" s="288">
        <v>100</v>
      </c>
      <c r="J169" s="288">
        <v>2563</v>
      </c>
      <c r="K169" s="65">
        <v>5.9320000000000004</v>
      </c>
      <c r="L169" s="66">
        <f>92960*K169</f>
        <v>551438.72000000009</v>
      </c>
      <c r="M169" s="124" t="s">
        <v>380</v>
      </c>
      <c r="N169" s="108"/>
    </row>
    <row r="170" spans="1:14" s="22" customFormat="1" ht="95.25" customHeight="1" x14ac:dyDescent="0.2">
      <c r="A170" s="291"/>
      <c r="B170" s="353" t="s">
        <v>381</v>
      </c>
      <c r="C170" s="290">
        <v>2010</v>
      </c>
      <c r="D170" s="110" t="s">
        <v>382</v>
      </c>
      <c r="E170" s="292" t="s">
        <v>134</v>
      </c>
      <c r="F170" s="292" t="s">
        <v>383</v>
      </c>
      <c r="G170" s="91" t="s">
        <v>384</v>
      </c>
      <c r="H170" s="321" t="s">
        <v>451</v>
      </c>
      <c r="I170" s="294">
        <v>101</v>
      </c>
      <c r="J170" s="294">
        <v>2564</v>
      </c>
      <c r="K170" s="94">
        <v>6.0185000000000004</v>
      </c>
      <c r="L170" s="95">
        <f>85320*K170</f>
        <v>513498.42000000004</v>
      </c>
      <c r="M170" s="99" t="s">
        <v>385</v>
      </c>
      <c r="N170" s="108"/>
    </row>
    <row r="171" spans="1:14" s="22" customFormat="1" ht="51" customHeight="1" x14ac:dyDescent="0.2">
      <c r="A171" s="291">
        <v>1738</v>
      </c>
      <c r="B171" s="353" t="s">
        <v>386</v>
      </c>
      <c r="C171" s="290">
        <v>2016</v>
      </c>
      <c r="D171" s="290" t="s">
        <v>25</v>
      </c>
      <c r="E171" s="292">
        <v>2019</v>
      </c>
      <c r="F171" s="292" t="s">
        <v>117</v>
      </c>
      <c r="G171" s="91" t="s">
        <v>387</v>
      </c>
      <c r="H171" s="293" t="s">
        <v>77</v>
      </c>
      <c r="I171" s="294">
        <v>102</v>
      </c>
      <c r="J171" s="294">
        <v>2565</v>
      </c>
      <c r="K171" s="94"/>
      <c r="L171" s="95">
        <v>103700</v>
      </c>
      <c r="M171" s="99" t="s">
        <v>385</v>
      </c>
      <c r="N171" s="108"/>
    </row>
    <row r="172" spans="1:14" s="22" customFormat="1" ht="29.25" customHeight="1" x14ac:dyDescent="0.2">
      <c r="A172" s="285">
        <v>1739</v>
      </c>
      <c r="B172" s="359" t="s">
        <v>388</v>
      </c>
      <c r="C172" s="286">
        <v>2012</v>
      </c>
      <c r="D172" s="87" t="s">
        <v>389</v>
      </c>
      <c r="E172" s="284">
        <v>2019</v>
      </c>
      <c r="F172" s="284" t="s">
        <v>22</v>
      </c>
      <c r="G172" s="67" t="s">
        <v>390</v>
      </c>
      <c r="H172" s="287" t="s">
        <v>95</v>
      </c>
      <c r="I172" s="288">
        <v>103</v>
      </c>
      <c r="J172" s="288">
        <v>2566</v>
      </c>
      <c r="K172" s="65">
        <v>381.4</v>
      </c>
      <c r="L172" s="66">
        <f>6400*K172</f>
        <v>2440960</v>
      </c>
      <c r="M172" s="124" t="s">
        <v>391</v>
      </c>
      <c r="N172" s="108"/>
    </row>
    <row r="173" spans="1:14" s="22" customFormat="1" ht="33" customHeight="1" x14ac:dyDescent="0.2">
      <c r="A173" s="414">
        <v>1740</v>
      </c>
      <c r="B173" s="381" t="s">
        <v>392</v>
      </c>
      <c r="C173" s="381">
        <v>2008</v>
      </c>
      <c r="D173" s="381" t="s">
        <v>393</v>
      </c>
      <c r="E173" s="385">
        <v>2019</v>
      </c>
      <c r="F173" s="385" t="s">
        <v>394</v>
      </c>
      <c r="G173" s="67" t="s">
        <v>218</v>
      </c>
      <c r="H173" s="389" t="s">
        <v>95</v>
      </c>
      <c r="I173" s="412">
        <v>104</v>
      </c>
      <c r="J173" s="412">
        <v>2567</v>
      </c>
      <c r="K173" s="65">
        <v>5.9554</v>
      </c>
      <c r="L173" s="66">
        <f>500000*K173</f>
        <v>2977700</v>
      </c>
      <c r="M173" s="124" t="s">
        <v>391</v>
      </c>
      <c r="N173" s="108"/>
    </row>
    <row r="174" spans="1:14" s="22" customFormat="1" ht="34.5" customHeight="1" x14ac:dyDescent="0.2">
      <c r="A174" s="380"/>
      <c r="B174" s="383"/>
      <c r="C174" s="383"/>
      <c r="D174" s="383"/>
      <c r="E174" s="383"/>
      <c r="F174" s="383"/>
      <c r="G174" s="67" t="s">
        <v>439</v>
      </c>
      <c r="H174" s="390"/>
      <c r="I174" s="388"/>
      <c r="J174" s="388"/>
      <c r="K174" s="65">
        <v>5.9554</v>
      </c>
      <c r="L174" s="66">
        <f>174100*K174</f>
        <v>1036835.14</v>
      </c>
      <c r="M174" s="124" t="s">
        <v>440</v>
      </c>
      <c r="N174" s="108"/>
    </row>
    <row r="175" spans="1:14" s="22" customFormat="1" ht="53.25" customHeight="1" x14ac:dyDescent="0.2">
      <c r="A175" s="327"/>
      <c r="B175" s="353" t="s">
        <v>304</v>
      </c>
      <c r="C175" s="329">
        <v>2018</v>
      </c>
      <c r="D175" s="329" t="s">
        <v>63</v>
      </c>
      <c r="E175" s="328" t="s">
        <v>45</v>
      </c>
      <c r="F175" s="328" t="s">
        <v>23</v>
      </c>
      <c r="G175" s="91" t="s">
        <v>342</v>
      </c>
      <c r="H175" s="345" t="s">
        <v>468</v>
      </c>
      <c r="I175" s="326">
        <v>105</v>
      </c>
      <c r="J175" s="326">
        <v>2568</v>
      </c>
      <c r="K175" s="94">
        <v>6.0117000000000003</v>
      </c>
      <c r="L175" s="95">
        <f>126627.84*K175</f>
        <v>761248.58572800003</v>
      </c>
      <c r="M175" s="99" t="s">
        <v>391</v>
      </c>
      <c r="N175" s="108"/>
    </row>
    <row r="176" spans="1:14" s="22" customFormat="1" ht="29.25" customHeight="1" x14ac:dyDescent="0.2">
      <c r="A176" s="327"/>
      <c r="B176" s="353" t="s">
        <v>435</v>
      </c>
      <c r="C176" s="329">
        <v>2014</v>
      </c>
      <c r="D176" s="329" t="s">
        <v>63</v>
      </c>
      <c r="E176" s="328" t="s">
        <v>45</v>
      </c>
      <c r="F176" s="328" t="s">
        <v>23</v>
      </c>
      <c r="G176" s="91" t="s">
        <v>436</v>
      </c>
      <c r="H176" s="325" t="s">
        <v>13</v>
      </c>
      <c r="I176" s="326">
        <v>106</v>
      </c>
      <c r="J176" s="326">
        <v>2569</v>
      </c>
      <c r="K176" s="94">
        <v>6.0117000000000003</v>
      </c>
      <c r="L176" s="95">
        <f>23547*K176</f>
        <v>141557.4999</v>
      </c>
      <c r="M176" s="99" t="s">
        <v>391</v>
      </c>
      <c r="N176" s="108"/>
    </row>
    <row r="177" spans="1:33" s="22" customFormat="1" ht="30.75" customHeight="1" x14ac:dyDescent="0.2">
      <c r="A177" s="327">
        <v>1741</v>
      </c>
      <c r="B177" s="353" t="s">
        <v>437</v>
      </c>
      <c r="C177" s="329">
        <v>2017</v>
      </c>
      <c r="D177" s="329" t="s">
        <v>63</v>
      </c>
      <c r="E177" s="328">
        <v>2019</v>
      </c>
      <c r="F177" s="328" t="s">
        <v>23</v>
      </c>
      <c r="G177" s="91" t="s">
        <v>438</v>
      </c>
      <c r="H177" s="325" t="s">
        <v>13</v>
      </c>
      <c r="I177" s="326">
        <v>107</v>
      </c>
      <c r="J177" s="326">
        <v>2570</v>
      </c>
      <c r="K177" s="94">
        <v>6.0117000000000003</v>
      </c>
      <c r="L177" s="95">
        <f>15066*K177</f>
        <v>90572.272200000007</v>
      </c>
      <c r="M177" s="99" t="s">
        <v>391</v>
      </c>
      <c r="N177" s="108"/>
    </row>
    <row r="178" spans="1:33" s="22" customFormat="1" ht="29.25" customHeight="1" x14ac:dyDescent="0.2">
      <c r="A178" s="327"/>
      <c r="B178" s="353" t="s">
        <v>441</v>
      </c>
      <c r="C178" s="329">
        <v>2015</v>
      </c>
      <c r="D178" s="329" t="s">
        <v>63</v>
      </c>
      <c r="E178" s="328" t="s">
        <v>136</v>
      </c>
      <c r="F178" s="328" t="s">
        <v>23</v>
      </c>
      <c r="G178" s="91" t="s">
        <v>442</v>
      </c>
      <c r="H178" s="325" t="s">
        <v>13</v>
      </c>
      <c r="I178" s="326">
        <v>108</v>
      </c>
      <c r="J178" s="326">
        <v>2571</v>
      </c>
      <c r="K178" s="94">
        <v>6.0117000000000003</v>
      </c>
      <c r="L178" s="95">
        <f>111754.17*K178</f>
        <v>671832.54378900002</v>
      </c>
      <c r="M178" s="99" t="s">
        <v>443</v>
      </c>
      <c r="N178" s="108"/>
    </row>
    <row r="179" spans="1:33" s="22" customFormat="1" ht="27.75" customHeight="1" x14ac:dyDescent="0.2">
      <c r="A179" s="313"/>
      <c r="B179" s="359" t="s">
        <v>444</v>
      </c>
      <c r="C179" s="314">
        <v>2014</v>
      </c>
      <c r="D179" s="314" t="s">
        <v>445</v>
      </c>
      <c r="E179" s="315" t="s">
        <v>134</v>
      </c>
      <c r="F179" s="315" t="s">
        <v>447</v>
      </c>
      <c r="G179" s="67" t="s">
        <v>446</v>
      </c>
      <c r="H179" s="316" t="s">
        <v>13</v>
      </c>
      <c r="I179" s="317">
        <v>109</v>
      </c>
      <c r="J179" s="317">
        <v>2572</v>
      </c>
      <c r="K179" s="65">
        <v>6.0155000000000003</v>
      </c>
      <c r="L179" s="66">
        <f>63600*K179</f>
        <v>382585.80000000005</v>
      </c>
      <c r="M179" s="124" t="s">
        <v>443</v>
      </c>
      <c r="N179" s="108"/>
    </row>
    <row r="180" spans="1:33" s="22" customFormat="1" ht="53.25" customHeight="1" x14ac:dyDescent="0.2">
      <c r="A180" s="334">
        <v>1742</v>
      </c>
      <c r="B180" s="359" t="s">
        <v>452</v>
      </c>
      <c r="C180" s="331">
        <v>2007</v>
      </c>
      <c r="D180" s="331" t="s">
        <v>455</v>
      </c>
      <c r="E180" s="332">
        <v>2019</v>
      </c>
      <c r="F180" s="332" t="s">
        <v>456</v>
      </c>
      <c r="G180" s="67" t="s">
        <v>457</v>
      </c>
      <c r="H180" s="346" t="s">
        <v>467</v>
      </c>
      <c r="I180" s="333">
        <v>110</v>
      </c>
      <c r="J180" s="333">
        <v>2573</v>
      </c>
      <c r="K180" s="65">
        <v>6.0449000000000002</v>
      </c>
      <c r="L180" s="66">
        <f>72500*K180</f>
        <v>438255.25</v>
      </c>
      <c r="M180" s="124" t="s">
        <v>458</v>
      </c>
      <c r="N180" s="108"/>
    </row>
    <row r="181" spans="1:33" s="22" customFormat="1" ht="42" customHeight="1" x14ac:dyDescent="0.2">
      <c r="A181" s="334"/>
      <c r="B181" s="359" t="s">
        <v>413</v>
      </c>
      <c r="C181" s="331">
        <v>2001</v>
      </c>
      <c r="D181" s="331" t="s">
        <v>414</v>
      </c>
      <c r="E181" s="332" t="s">
        <v>92</v>
      </c>
      <c r="F181" s="332" t="s">
        <v>55</v>
      </c>
      <c r="G181" s="67" t="s">
        <v>453</v>
      </c>
      <c r="H181" s="330" t="s">
        <v>13</v>
      </c>
      <c r="I181" s="333"/>
      <c r="J181" s="333"/>
      <c r="K181" s="65"/>
      <c r="L181" s="66">
        <v>636332.24</v>
      </c>
      <c r="M181" s="124" t="s">
        <v>454</v>
      </c>
      <c r="N181" s="108"/>
    </row>
    <row r="182" spans="1:33" s="22" customFormat="1" ht="42" customHeight="1" x14ac:dyDescent="0.2">
      <c r="A182" s="334">
        <v>1743</v>
      </c>
      <c r="B182" s="361" t="s">
        <v>459</v>
      </c>
      <c r="C182" s="331">
        <v>2016</v>
      </c>
      <c r="D182" s="344" t="s">
        <v>460</v>
      </c>
      <c r="E182" s="332">
        <v>2019</v>
      </c>
      <c r="F182" s="332" t="s">
        <v>461</v>
      </c>
      <c r="G182" s="67" t="s">
        <v>462</v>
      </c>
      <c r="H182" s="330" t="s">
        <v>13</v>
      </c>
      <c r="I182" s="333">
        <v>111</v>
      </c>
      <c r="J182" s="333">
        <v>2574</v>
      </c>
      <c r="K182" s="65">
        <v>6.0255999999999998</v>
      </c>
      <c r="L182" s="66">
        <f>162191*K182</f>
        <v>977298.08959999995</v>
      </c>
      <c r="M182" s="124" t="s">
        <v>454</v>
      </c>
      <c r="N182" s="108"/>
    </row>
    <row r="183" spans="1:33" s="22" customFormat="1" ht="41.25" customHeight="1" x14ac:dyDescent="0.2">
      <c r="A183" s="334"/>
      <c r="B183" s="359" t="s">
        <v>463</v>
      </c>
      <c r="C183" s="331">
        <v>2013</v>
      </c>
      <c r="D183" s="344" t="s">
        <v>464</v>
      </c>
      <c r="E183" s="332" t="s">
        <v>134</v>
      </c>
      <c r="F183" s="332" t="s">
        <v>322</v>
      </c>
      <c r="G183" s="67" t="s">
        <v>465</v>
      </c>
      <c r="H183" s="330" t="s">
        <v>13</v>
      </c>
      <c r="I183" s="333">
        <v>112</v>
      </c>
      <c r="J183" s="333">
        <v>2575</v>
      </c>
      <c r="K183" s="65">
        <v>6.0778999999999996</v>
      </c>
      <c r="L183" s="66">
        <f>33690*K183</f>
        <v>204764.451</v>
      </c>
      <c r="M183" s="124" t="s">
        <v>466</v>
      </c>
      <c r="N183" s="108"/>
    </row>
    <row r="184" spans="1:33" s="22" customFormat="1" ht="80.25" customHeight="1" x14ac:dyDescent="0.2">
      <c r="A184" s="349"/>
      <c r="B184" s="359" t="s">
        <v>469</v>
      </c>
      <c r="C184" s="350">
        <v>2013</v>
      </c>
      <c r="D184" s="87" t="s">
        <v>470</v>
      </c>
      <c r="E184" s="348" t="s">
        <v>45</v>
      </c>
      <c r="F184" s="348" t="s">
        <v>322</v>
      </c>
      <c r="G184" s="67" t="s">
        <v>471</v>
      </c>
      <c r="H184" s="358" t="s">
        <v>489</v>
      </c>
      <c r="I184" s="352">
        <v>113</v>
      </c>
      <c r="J184" s="352">
        <v>2576</v>
      </c>
      <c r="K184" s="65">
        <v>6.0721999999999996</v>
      </c>
      <c r="L184" s="66">
        <f>306100*K184</f>
        <v>1858700.42</v>
      </c>
      <c r="M184" s="124" t="s">
        <v>472</v>
      </c>
      <c r="N184" s="108"/>
    </row>
    <row r="185" spans="1:33" s="22" customFormat="1" ht="16.5" customHeight="1" x14ac:dyDescent="0.2">
      <c r="A185" s="414"/>
      <c r="B185" s="381" t="s">
        <v>473</v>
      </c>
      <c r="C185" s="381">
        <v>2009</v>
      </c>
      <c r="D185" s="416" t="s">
        <v>474</v>
      </c>
      <c r="E185" s="385" t="s">
        <v>136</v>
      </c>
      <c r="F185" s="385" t="s">
        <v>475</v>
      </c>
      <c r="G185" s="67" t="s">
        <v>60</v>
      </c>
      <c r="H185" s="389" t="s">
        <v>13</v>
      </c>
      <c r="I185" s="412">
        <v>114</v>
      </c>
      <c r="J185" s="412">
        <v>2577</v>
      </c>
      <c r="K185" s="65">
        <v>379.6</v>
      </c>
      <c r="L185" s="66">
        <f>9000*K185</f>
        <v>3416400</v>
      </c>
      <c r="M185" s="124" t="s">
        <v>476</v>
      </c>
      <c r="N185" s="108"/>
    </row>
    <row r="186" spans="1:33" s="22" customFormat="1" ht="18.75" customHeight="1" x14ac:dyDescent="0.2">
      <c r="A186" s="415"/>
      <c r="B186" s="406"/>
      <c r="C186" s="406"/>
      <c r="D186" s="417"/>
      <c r="E186" s="407"/>
      <c r="F186" s="407"/>
      <c r="G186" s="67" t="s">
        <v>60</v>
      </c>
      <c r="H186" s="402"/>
      <c r="I186" s="413"/>
      <c r="J186" s="413"/>
      <c r="K186" s="65">
        <v>379.6</v>
      </c>
      <c r="L186" s="66">
        <f>9000*K186</f>
        <v>3416400</v>
      </c>
      <c r="M186" s="124" t="s">
        <v>484</v>
      </c>
      <c r="N186" s="108"/>
    </row>
    <row r="187" spans="1:33" s="22" customFormat="1" ht="54.75" customHeight="1" x14ac:dyDescent="0.2">
      <c r="A187" s="349"/>
      <c r="B187" s="359" t="s">
        <v>27</v>
      </c>
      <c r="C187" s="350">
        <v>2014</v>
      </c>
      <c r="D187" s="360" t="s">
        <v>28</v>
      </c>
      <c r="E187" s="348" t="s">
        <v>477</v>
      </c>
      <c r="F187" s="348" t="s">
        <v>213</v>
      </c>
      <c r="G187" s="67" t="s">
        <v>478</v>
      </c>
      <c r="H187" s="351" t="s">
        <v>13</v>
      </c>
      <c r="I187" s="352">
        <v>115</v>
      </c>
      <c r="J187" s="352">
        <v>2578</v>
      </c>
      <c r="K187" s="65">
        <v>6.1193</v>
      </c>
      <c r="L187" s="66">
        <f>28763*K187</f>
        <v>176009.4259</v>
      </c>
      <c r="M187" s="124" t="s">
        <v>479</v>
      </c>
      <c r="N187" s="108"/>
    </row>
    <row r="188" spans="1:33" s="22" customFormat="1" ht="54.75" customHeight="1" x14ac:dyDescent="0.2">
      <c r="A188" s="349"/>
      <c r="B188" s="359" t="s">
        <v>29</v>
      </c>
      <c r="C188" s="350">
        <v>2006</v>
      </c>
      <c r="D188" s="360" t="s">
        <v>30</v>
      </c>
      <c r="E188" s="348" t="s">
        <v>190</v>
      </c>
      <c r="F188" s="348" t="s">
        <v>275</v>
      </c>
      <c r="G188" s="67" t="s">
        <v>480</v>
      </c>
      <c r="H188" s="358" t="s">
        <v>490</v>
      </c>
      <c r="I188" s="352">
        <v>116</v>
      </c>
      <c r="J188" s="352">
        <v>2579</v>
      </c>
      <c r="K188" s="65">
        <v>6.1177999999999999</v>
      </c>
      <c r="L188" s="66">
        <f>87985*K188</f>
        <v>538274.63300000003</v>
      </c>
      <c r="M188" s="124" t="s">
        <v>479</v>
      </c>
      <c r="N188" s="108"/>
    </row>
    <row r="189" spans="1:33" s="22" customFormat="1" ht="51" customHeight="1" x14ac:dyDescent="0.2">
      <c r="A189" s="349"/>
      <c r="B189" s="359" t="s">
        <v>481</v>
      </c>
      <c r="C189" s="350">
        <v>2007</v>
      </c>
      <c r="D189" s="360" t="s">
        <v>25</v>
      </c>
      <c r="E189" s="348" t="s">
        <v>482</v>
      </c>
      <c r="F189" s="348" t="s">
        <v>117</v>
      </c>
      <c r="G189" s="67" t="s">
        <v>483</v>
      </c>
      <c r="H189" s="351" t="s">
        <v>77</v>
      </c>
      <c r="I189" s="352">
        <v>117</v>
      </c>
      <c r="J189" s="352">
        <v>2580</v>
      </c>
      <c r="K189" s="65"/>
      <c r="L189" s="66">
        <v>105100</v>
      </c>
      <c r="M189" s="124" t="s">
        <v>479</v>
      </c>
      <c r="N189" s="108"/>
    </row>
    <row r="190" spans="1:33" s="22" customFormat="1" x14ac:dyDescent="0.2">
      <c r="A190" s="96"/>
      <c r="B190" s="83"/>
      <c r="C190" s="83"/>
      <c r="D190" s="97"/>
      <c r="E190" s="236"/>
      <c r="F190" s="255"/>
      <c r="G190" s="91"/>
      <c r="H190" s="81"/>
      <c r="I190" s="98"/>
      <c r="J190" s="98"/>
      <c r="K190" s="94"/>
      <c r="L190" s="95"/>
      <c r="M190" s="99"/>
    </row>
    <row r="191" spans="1:33" s="13" customFormat="1" x14ac:dyDescent="0.2">
      <c r="A191" s="36"/>
      <c r="B191" s="37" t="s">
        <v>35</v>
      </c>
      <c r="C191" s="38"/>
      <c r="D191" s="38"/>
      <c r="E191" s="39"/>
      <c r="F191" s="39"/>
      <c r="G191" s="40"/>
      <c r="H191" s="41"/>
      <c r="I191" s="86"/>
      <c r="J191" s="42"/>
      <c r="K191" s="43"/>
      <c r="L191" s="44">
        <f>SUM(L31:L190)</f>
        <v>201285236.71285495</v>
      </c>
      <c r="M191" s="60"/>
      <c r="N191" s="74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 spans="1:33" x14ac:dyDescent="0.2">
      <c r="F192" s="19"/>
      <c r="I192" s="85"/>
      <c r="N192" s="7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6:33" x14ac:dyDescent="0.2">
      <c r="F193" s="20"/>
      <c r="M193" s="75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6:33" x14ac:dyDescent="0.2">
      <c r="N194" s="7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6:33" x14ac:dyDescent="0.2">
      <c r="N195" s="7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6:33" x14ac:dyDescent="0.2">
      <c r="N196" s="73"/>
    </row>
    <row r="204" spans="6:33" x14ac:dyDescent="0.2">
      <c r="N204" s="73"/>
    </row>
  </sheetData>
  <sheetProtection password="81D3" sheet="1" objects="1" scenarios="1" selectLockedCells="1" selectUnlockedCells="1"/>
  <autoFilter ref="A29:N35"/>
  <mergeCells count="202">
    <mergeCell ref="A185:A186"/>
    <mergeCell ref="B185:B186"/>
    <mergeCell ref="C185:C186"/>
    <mergeCell ref="D185:D186"/>
    <mergeCell ref="E185:E186"/>
    <mergeCell ref="F185:F186"/>
    <mergeCell ref="H185:H186"/>
    <mergeCell ref="I185:I186"/>
    <mergeCell ref="J185:J186"/>
    <mergeCell ref="H173:H174"/>
    <mergeCell ref="A173:A174"/>
    <mergeCell ref="B173:B174"/>
    <mergeCell ref="C173:C174"/>
    <mergeCell ref="D173:D174"/>
    <mergeCell ref="E173:E174"/>
    <mergeCell ref="F173:F174"/>
    <mergeCell ref="I173:I174"/>
    <mergeCell ref="J173:J174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J133:J134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H145:H146"/>
    <mergeCell ref="I145:I146"/>
    <mergeCell ref="J145:J146"/>
    <mergeCell ref="A82:A86"/>
    <mergeCell ref="B82:B86"/>
    <mergeCell ref="C82:C86"/>
    <mergeCell ref="A145:A146"/>
    <mergeCell ref="B145:B146"/>
    <mergeCell ref="C145:C146"/>
    <mergeCell ref="D145:D146"/>
    <mergeCell ref="E145:E146"/>
    <mergeCell ref="F145:F146"/>
    <mergeCell ref="A92:A93"/>
    <mergeCell ref="B92:B93"/>
    <mergeCell ref="C92:C93"/>
    <mergeCell ref="D92:D93"/>
    <mergeCell ref="E92:E93"/>
    <mergeCell ref="F92:F93"/>
    <mergeCell ref="H92:H93"/>
    <mergeCell ref="I92:I93"/>
    <mergeCell ref="J92:J93"/>
    <mergeCell ref="A142:A143"/>
    <mergeCell ref="B142:B143"/>
    <mergeCell ref="C142:C143"/>
    <mergeCell ref="D142:D143"/>
    <mergeCell ref="E142:E143"/>
    <mergeCell ref="F142:F143"/>
    <mergeCell ref="H142:H143"/>
    <mergeCell ref="I142:I143"/>
    <mergeCell ref="J142:J143"/>
    <mergeCell ref="D82:D86"/>
    <mergeCell ref="E82:E86"/>
    <mergeCell ref="F82:F86"/>
    <mergeCell ref="H83:H86"/>
    <mergeCell ref="I82:I86"/>
    <mergeCell ref="J82:J86"/>
    <mergeCell ref="D113:D114"/>
    <mergeCell ref="E113:E114"/>
    <mergeCell ref="F113:F114"/>
    <mergeCell ref="H113:H114"/>
    <mergeCell ref="I113:I114"/>
    <mergeCell ref="J113:J114"/>
    <mergeCell ref="A45:A46"/>
    <mergeCell ref="B45:B46"/>
    <mergeCell ref="C45:C46"/>
    <mergeCell ref="A78:A79"/>
    <mergeCell ref="B78:B79"/>
    <mergeCell ref="C78:C79"/>
    <mergeCell ref="F70:F71"/>
    <mergeCell ref="H70:H71"/>
    <mergeCell ref="I70:I71"/>
    <mergeCell ref="H50:H51"/>
    <mergeCell ref="A70:A71"/>
    <mergeCell ref="B70:B71"/>
    <mergeCell ref="I45:I46"/>
    <mergeCell ref="A67:A68"/>
    <mergeCell ref="B67:B68"/>
    <mergeCell ref="C67:C68"/>
    <mergeCell ref="A64:A65"/>
    <mergeCell ref="B64:B65"/>
    <mergeCell ref="C64:C65"/>
    <mergeCell ref="A50:A51"/>
    <mergeCell ref="C70:C71"/>
    <mergeCell ref="A56:A62"/>
    <mergeCell ref="B56:B62"/>
    <mergeCell ref="C56:C62"/>
    <mergeCell ref="J45:J46"/>
    <mergeCell ref="H64:H65"/>
    <mergeCell ref="I64:I65"/>
    <mergeCell ref="J64:J65"/>
    <mergeCell ref="I67:I68"/>
    <mergeCell ref="H56:H62"/>
    <mergeCell ref="I56:I62"/>
    <mergeCell ref="J56:J62"/>
    <mergeCell ref="D78:D79"/>
    <mergeCell ref="I78:I79"/>
    <mergeCell ref="J78:J79"/>
    <mergeCell ref="J70:J71"/>
    <mergeCell ref="I50:I51"/>
    <mergeCell ref="J50:J51"/>
    <mergeCell ref="D67:D68"/>
    <mergeCell ref="E67:E68"/>
    <mergeCell ref="F67:F68"/>
    <mergeCell ref="H67:H68"/>
    <mergeCell ref="D64:D65"/>
    <mergeCell ref="E64:E65"/>
    <mergeCell ref="F64:F65"/>
    <mergeCell ref="J67:J68"/>
    <mergeCell ref="D70:D71"/>
    <mergeCell ref="E70:E71"/>
    <mergeCell ref="D56:D62"/>
    <mergeCell ref="E56:E62"/>
    <mergeCell ref="F56:F62"/>
    <mergeCell ref="B23:C23"/>
    <mergeCell ref="B24:C24"/>
    <mergeCell ref="D37:D38"/>
    <mergeCell ref="E37:E38"/>
    <mergeCell ref="D45:D46"/>
    <mergeCell ref="E45:E46"/>
    <mergeCell ref="D50:D51"/>
    <mergeCell ref="E50:E51"/>
    <mergeCell ref="F45:F46"/>
    <mergeCell ref="F50:F51"/>
    <mergeCell ref="B50:B51"/>
    <mergeCell ref="C50:C51"/>
    <mergeCell ref="A37:A38"/>
    <mergeCell ref="B37:B38"/>
    <mergeCell ref="C37:C38"/>
    <mergeCell ref="A35:A36"/>
    <mergeCell ref="B35:B36"/>
    <mergeCell ref="C35:C36"/>
    <mergeCell ref="B1:G1"/>
    <mergeCell ref="B2:G2"/>
    <mergeCell ref="B20:C20"/>
    <mergeCell ref="B21:C21"/>
    <mergeCell ref="B22:C22"/>
    <mergeCell ref="B4:M4"/>
    <mergeCell ref="B25:C25"/>
    <mergeCell ref="F35:F36"/>
    <mergeCell ref="H35:H36"/>
    <mergeCell ref="I35:I36"/>
    <mergeCell ref="H37:H38"/>
    <mergeCell ref="F37:F38"/>
    <mergeCell ref="J35:J36"/>
    <mergeCell ref="D35:D36"/>
    <mergeCell ref="E35:E36"/>
    <mergeCell ref="I37:I38"/>
    <mergeCell ref="J37:J38"/>
    <mergeCell ref="A96:A98"/>
    <mergeCell ref="B96:B98"/>
    <mergeCell ref="C96:C98"/>
    <mergeCell ref="D96:D98"/>
    <mergeCell ref="E96:E98"/>
    <mergeCell ref="F96:F98"/>
    <mergeCell ref="I96:I98"/>
    <mergeCell ref="J96:J98"/>
    <mergeCell ref="A116:A117"/>
    <mergeCell ref="B116:B117"/>
    <mergeCell ref="D116:D117"/>
    <mergeCell ref="C116:C117"/>
    <mergeCell ref="E116:E117"/>
    <mergeCell ref="F116:F117"/>
    <mergeCell ref="H116:H117"/>
    <mergeCell ref="I116:I117"/>
    <mergeCell ref="J116:J117"/>
    <mergeCell ref="A113:A114"/>
    <mergeCell ref="B113:B114"/>
    <mergeCell ref="C113:C114"/>
    <mergeCell ref="A118:A119"/>
    <mergeCell ref="B118:B119"/>
    <mergeCell ref="C118:C119"/>
    <mergeCell ref="D118:D119"/>
    <mergeCell ref="E118:E119"/>
    <mergeCell ref="F118:F119"/>
    <mergeCell ref="H118:H119"/>
    <mergeCell ref="I118:I119"/>
    <mergeCell ref="J118:J119"/>
    <mergeCell ref="A158:A159"/>
    <mergeCell ref="B158:B159"/>
    <mergeCell ref="C158:C159"/>
    <mergeCell ref="D158:D159"/>
    <mergeCell ref="E158:E159"/>
    <mergeCell ref="F158:F159"/>
    <mergeCell ref="H158:H159"/>
    <mergeCell ref="I158:I159"/>
    <mergeCell ref="J158:J159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2019-06-18T07:42:51Z</cp:lastPrinted>
  <dcterms:created xsi:type="dcterms:W3CDTF">2013-11-07T08:01:25Z</dcterms:created>
  <dcterms:modified xsi:type="dcterms:W3CDTF">2019-06-18T07:53:06Z</dcterms:modified>
</cp:coreProperties>
</file>