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570" windowHeight="8955"/>
  </bookViews>
  <sheets>
    <sheet name="2019" sheetId="10" r:id="rId1"/>
  </sheets>
  <definedNames>
    <definedName name="_xlnm._FilterDatabase" localSheetId="0" hidden="1">'2019'!$A$29:$N$35</definedName>
  </definedNames>
  <calcPr calcId="144525"/>
</workbook>
</file>

<file path=xl/calcChain.xml><?xml version="1.0" encoding="utf-8"?>
<calcChain xmlns="http://schemas.openxmlformats.org/spreadsheetml/2006/main">
  <c r="E19" i="10" l="1"/>
  <c r="D19" i="10"/>
  <c r="L236" i="10" l="1"/>
  <c r="L235" i="10"/>
  <c r="L234" i="10"/>
  <c r="L233" i="10"/>
  <c r="L232" i="10" l="1"/>
  <c r="L231" i="10"/>
  <c r="L230" i="10" l="1"/>
  <c r="L46" i="10" l="1"/>
  <c r="L223" i="10"/>
  <c r="L116" i="10" l="1"/>
  <c r="L115" i="10"/>
  <c r="L41" i="10" l="1"/>
  <c r="L217" i="10" l="1"/>
  <c r="L144" i="10"/>
  <c r="L187" i="10"/>
  <c r="L229" i="10" l="1"/>
  <c r="L228" i="10" l="1"/>
  <c r="L222" i="10" l="1"/>
  <c r="L227" i="10"/>
  <c r="L226" i="10"/>
  <c r="L225" i="10" l="1"/>
  <c r="L224" i="10"/>
  <c r="L142" i="10" l="1"/>
  <c r="L221" i="10" l="1"/>
  <c r="L220" i="10" l="1"/>
  <c r="L219" i="10"/>
  <c r="L218" i="10"/>
  <c r="L74" i="10" l="1"/>
  <c r="L216" i="10" l="1"/>
  <c r="L215" i="10" l="1"/>
  <c r="L214" i="10"/>
  <c r="L213" i="10" l="1"/>
  <c r="L175" i="10"/>
  <c r="L207" i="10"/>
  <c r="L202" i="10"/>
  <c r="L210" i="10"/>
  <c r="L209" i="10"/>
  <c r="L208" i="10"/>
  <c r="L174" i="10"/>
  <c r="L206" i="10"/>
  <c r="L205" i="10"/>
  <c r="L204" i="10"/>
  <c r="L186" i="10" l="1"/>
  <c r="L203" i="10" l="1"/>
  <c r="L185" i="10" l="1"/>
  <c r="L169" i="10"/>
  <c r="L201" i="10"/>
  <c r="L199" i="10"/>
  <c r="L200" i="10"/>
  <c r="L198" i="10"/>
  <c r="L197" i="10"/>
  <c r="L196" i="10"/>
  <c r="L195" i="10"/>
  <c r="L190" i="10"/>
  <c r="L194" i="10"/>
  <c r="L189" i="10" l="1"/>
  <c r="L192" i="10" l="1"/>
  <c r="L191" i="10"/>
  <c r="L188" i="10"/>
  <c r="L184" i="10" l="1"/>
  <c r="L182" i="10"/>
  <c r="L141" i="10" l="1"/>
  <c r="L158" i="10"/>
  <c r="L159" i="10"/>
  <c r="L181" i="10"/>
  <c r="L180" i="10"/>
  <c r="L176" i="10"/>
  <c r="L179" i="10"/>
  <c r="L178" i="10" l="1"/>
  <c r="L177" i="10" l="1"/>
  <c r="L85" i="10" l="1"/>
  <c r="L114" i="10"/>
  <c r="L173" i="10"/>
  <c r="L171" i="10"/>
  <c r="L170" i="10"/>
  <c r="L86" i="10" l="1"/>
  <c r="L61" i="10" l="1"/>
  <c r="L168" i="10"/>
  <c r="L167" i="10"/>
  <c r="L166" i="10"/>
  <c r="L165" i="10"/>
  <c r="L164" i="10" l="1"/>
  <c r="L49" i="10" l="1"/>
  <c r="L45" i="10" l="1"/>
  <c r="L160" i="10"/>
  <c r="L157" i="10"/>
  <c r="L151" i="10" l="1"/>
  <c r="L78" i="10" l="1"/>
  <c r="L150" i="10"/>
  <c r="L149" i="10"/>
  <c r="L148" i="10"/>
  <c r="L147" i="10"/>
  <c r="L146" i="10"/>
  <c r="L145" i="10"/>
  <c r="L143" i="10"/>
  <c r="L60" i="10" l="1"/>
  <c r="L120" i="10" l="1"/>
  <c r="L140" i="10"/>
  <c r="L139" i="10"/>
  <c r="L137" i="10"/>
  <c r="L136" i="10"/>
  <c r="L59" i="10" l="1"/>
  <c r="L58" i="10"/>
  <c r="L97" i="10"/>
  <c r="L93" i="10"/>
  <c r="L94" i="10"/>
  <c r="L131" i="10" l="1"/>
  <c r="L130" i="10"/>
  <c r="L129" i="10"/>
  <c r="L128" i="10"/>
  <c r="L118" i="10"/>
  <c r="L127" i="10"/>
  <c r="L126" i="10" l="1"/>
  <c r="L125" i="10"/>
  <c r="L124" i="10"/>
  <c r="L123" i="10"/>
  <c r="L122" i="10"/>
  <c r="L121" i="10"/>
  <c r="L119" i="10"/>
  <c r="L117" i="10"/>
  <c r="L84" i="10"/>
  <c r="L96" i="10" l="1"/>
  <c r="L109" i="10" l="1"/>
  <c r="L108" i="10"/>
  <c r="L107" i="10"/>
  <c r="L83" i="10"/>
  <c r="L57" i="10"/>
  <c r="L101" i="10"/>
  <c r="L99" i="10" l="1"/>
  <c r="L98" i="10" l="1"/>
  <c r="L92" i="10"/>
  <c r="L95" i="10"/>
  <c r="L82" i="10" l="1"/>
  <c r="L91" i="10" l="1"/>
  <c r="L56" i="10"/>
  <c r="L90" i="10"/>
  <c r="L89" i="10"/>
  <c r="L88" i="10"/>
  <c r="L87" i="10" l="1"/>
  <c r="L81" i="10" l="1"/>
  <c r="L80" i="10" l="1"/>
  <c r="L79" i="10"/>
  <c r="L77" i="10"/>
  <c r="L76" i="10" l="1"/>
  <c r="L75" i="10"/>
  <c r="L69" i="10" l="1"/>
  <c r="L73" i="10"/>
  <c r="L72" i="10"/>
  <c r="L64" i="10"/>
  <c r="L71" i="10"/>
  <c r="L67" i="10"/>
  <c r="L68" i="10"/>
  <c r="L66" i="10"/>
  <c r="L65" i="10"/>
  <c r="L63" i="10"/>
  <c r="L62" i="10"/>
  <c r="L55" i="10"/>
  <c r="L50" i="10" l="1"/>
  <c r="E18" i="10" l="1"/>
  <c r="L54" i="10"/>
  <c r="L53" i="10"/>
  <c r="L52" i="10"/>
  <c r="L48" i="10" l="1"/>
  <c r="L36" i="10" l="1"/>
  <c r="L38" i="10"/>
  <c r="L44" i="10"/>
  <c r="L37" i="10" l="1"/>
  <c r="L35" i="10" l="1"/>
  <c r="L34" i="10"/>
  <c r="L33" i="10"/>
  <c r="L32" i="10"/>
  <c r="L31" i="10" l="1"/>
  <c r="D18" i="10" l="1"/>
  <c r="E17" i="10" l="1"/>
  <c r="L238" i="10" l="1"/>
  <c r="F19" i="10" s="1"/>
  <c r="F20" i="10" s="1"/>
  <c r="D17" i="10"/>
  <c r="D20" i="10" s="1"/>
  <c r="E16" i="10" l="1"/>
  <c r="E20" i="10" s="1"/>
  <c r="F26" i="10" l="1"/>
  <c r="D26" i="10"/>
  <c r="E25" i="10" l="1"/>
  <c r="E27" i="10" s="1"/>
  <c r="D25" i="10"/>
  <c r="D27" i="10" s="1"/>
  <c r="F25" i="10" l="1"/>
</calcChain>
</file>

<file path=xl/sharedStrings.xml><?xml version="1.0" encoding="utf-8"?>
<sst xmlns="http://schemas.openxmlformats.org/spreadsheetml/2006/main" count="1187" uniqueCount="624">
  <si>
    <t xml:space="preserve">ОТЧЕТ «Подари детям Жизнь» </t>
  </si>
  <si>
    <t>Дети</t>
  </si>
  <si>
    <t>Имя</t>
  </si>
  <si>
    <t>Год рождения</t>
  </si>
  <si>
    <t>Диагноз</t>
  </si>
  <si>
    <t>Дата операции</t>
  </si>
  <si>
    <t>Клиника</t>
  </si>
  <si>
    <t xml:space="preserve">Спонсоры </t>
  </si>
  <si>
    <t xml:space="preserve">Курс валюты на день оплаты </t>
  </si>
  <si>
    <t>Дата оплаты</t>
  </si>
  <si>
    <t>"Центр Тяжести", 2009</t>
  </si>
  <si>
    <t>Всего детей</t>
  </si>
  <si>
    <t>KZT</t>
  </si>
  <si>
    <t>ПДЖ</t>
  </si>
  <si>
    <t>Сумма в тенге</t>
  </si>
  <si>
    <t>Партнёры (фонды и компании), 2007- 2010</t>
  </si>
  <si>
    <t>"Российский фонд Помощи", 2009-2010</t>
  </si>
  <si>
    <t>Частные спонсоры, 2007-2012</t>
  </si>
  <si>
    <r>
      <t xml:space="preserve">Операции/курсы лечения </t>
    </r>
    <r>
      <rPr>
        <sz val="10"/>
        <rFont val="Verdana"/>
        <family val="2"/>
        <charset val="204"/>
      </rPr>
      <t>(некоторые дети были прооперированы 2 и более раз)</t>
    </r>
  </si>
  <si>
    <t xml:space="preserve">Стоимость операции, валюта </t>
  </si>
  <si>
    <t>Бесплатные операции в рамках сотрудничества с фондом "ДОМ", 2009-2013</t>
  </si>
  <si>
    <t xml:space="preserve">Примечания: 
1.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
2. Сумма первой оплаты соответствует заключенному с клиникой договору и выставленному счету. В нашем текущем финансовом отчете эта промежуточная сумма выделена зеленым цветом. Эта сумма в ходе лечения может измениться – уменьшится или увеличиться (например, изменилось количество дней в реанимации, потребовались/не потребовались дополнительные анализы или препараты и т.д.).
Итоговая фактическая сумма расходов отражается в актах выполненных работ и по мере поступления документов от клиники вносится в наш финансовый отчет.  
3. Большинство оплат за лечение детей в зарубежные клиники производится в долларах. В период с 2007 по 2015 года наш отчет по тратам велся в долларах. С 2016 отчёт ведется в тенге  по курсу на день оплаты. Суммы оплат за период с 2007 по 2015 года пересчитаны в тенге по средне-годовому курсу. 
4. При выборе клиники мы ориентируемся на соотношение «качество-цена». Более высокая стоимость лечения в клинике не означает более высокого качества лечения. Почти половину стоимости лечения составляют непрямые расходы – проживание в клинике, оплата административных расходов клиники и т.д. (соответственно, в странах с более высоким уровнем заработных плат персонала эти расходы в разы выше, и не отражаются на качестве лечения). </t>
  </si>
  <si>
    <t>Gaziosmanpasa HASTANESI</t>
  </si>
  <si>
    <t>УФК по Ленинградской обл. ЛОГБУЗ ДКБ</t>
  </si>
  <si>
    <t>7 000 USD</t>
  </si>
  <si>
    <t>неврология</t>
  </si>
  <si>
    <t>Istanbul Memorial Saglik Yatirimlari A.S.</t>
  </si>
  <si>
    <t>Умитжанкызы Жасмина</t>
  </si>
  <si>
    <t>склерокорнея, тотальная воронкообразная отслойка сетчатки</t>
  </si>
  <si>
    <t>Калиева Диляра</t>
  </si>
  <si>
    <t>Муковисцидоз легочная форма, ДН 2 степени</t>
  </si>
  <si>
    <t>Дуйсембек Досай</t>
  </si>
  <si>
    <t>Неконтролируемая бронхиальная астма,тяжелое течение</t>
  </si>
  <si>
    <t>ВСЕГО ПО АКЦИИ "ПОДАРИ ДЕТЯМ ЖИЗНЬ" 2007 - 2019</t>
  </si>
  <si>
    <t>Всего со счёта ОФ "ДОМ" 2007 - 2019</t>
  </si>
  <si>
    <t>ВСЕГО ЗА 2019</t>
  </si>
  <si>
    <t>Бостанова Гульназ</t>
  </si>
  <si>
    <t>Yuncheng research institute of scalp hospital</t>
  </si>
  <si>
    <t>1 334 USD</t>
  </si>
  <si>
    <t>Кол-во операций в 2019</t>
  </si>
  <si>
    <t>Кол-во операций 2007 -2019</t>
  </si>
  <si>
    <t>03.01.2019г.</t>
  </si>
  <si>
    <t> Мукополисахоридоз 6 типа</t>
  </si>
  <si>
    <t>Айдаркул Талапты</t>
  </si>
  <si>
    <t>08.01.2019г.</t>
  </si>
  <si>
    <t>2019, 2 операция</t>
  </si>
  <si>
    <t>2019, 6 операция</t>
  </si>
  <si>
    <t>62 307 RUB</t>
  </si>
  <si>
    <t>09.01.2019г.</t>
  </si>
  <si>
    <t>ФГБОУ ВО СЗМУ им.И.И.Мечникова МЗ России</t>
  </si>
  <si>
    <t>27 940 RUB</t>
  </si>
  <si>
    <t>920 USD</t>
  </si>
  <si>
    <t>2019, 4 курс/леч. (обследование)</t>
  </si>
  <si>
    <t>ТОО «Дёлер Казахстан»</t>
  </si>
  <si>
    <t>Москаев Елисей</t>
  </si>
  <si>
    <t>ТОО Институт хирургии</t>
  </si>
  <si>
    <t>500 000 KZT</t>
  </si>
  <si>
    <t>16.01.2019г.</t>
  </si>
  <si>
    <t>Атакелды Амина</t>
  </si>
  <si>
    <t>Воронкообразная деформация грудной клетки со сдавлением легкого</t>
  </si>
  <si>
    <t>9 000 USD</t>
  </si>
  <si>
    <t>14.01.2019г.</t>
  </si>
  <si>
    <t>Кайсаринова Радмина</t>
  </si>
  <si>
    <t>Ретинопатия недоношенных 5 ст</t>
  </si>
  <si>
    <t>СПб ГБУЗ ДГМКЦ ВМТ им.К.А.Раухфуса</t>
  </si>
  <si>
    <t>263 120 RUB</t>
  </si>
  <si>
    <t>17.01.2019г.</t>
  </si>
  <si>
    <t>ПДЖ, в т.ч. -          160 000 тг. частный спонсор</t>
  </si>
  <si>
    <t>ПДЖ, в т.ч. -            100 000 тг. ТОО "DASM Ideas".        200 000 тг.           ТОО "CREA"</t>
  </si>
  <si>
    <t>ПДЖ, в т.ч. -            1 000 000 тг. АО "РТС ДЕКО",     500 000 тг. частный спонсор</t>
  </si>
  <si>
    <t>ООО Генотек</t>
  </si>
  <si>
    <t>44 990 RUB</t>
  </si>
  <si>
    <t>Даулбаев Асхат</t>
  </si>
  <si>
    <t>Общественный Фонд реабилитации "Я сам шагаю"</t>
  </si>
  <si>
    <t>151 500 KZT</t>
  </si>
  <si>
    <t>Редпрайс</t>
  </si>
  <si>
    <t>21.01.2019г.</t>
  </si>
  <si>
    <t>Айдарбек Ажар</t>
  </si>
  <si>
    <t>2019, 2 курс/леч.</t>
  </si>
  <si>
    <t>Центр новых медицинских технологий г.Тула</t>
  </si>
  <si>
    <t>138 300 KZT</t>
  </si>
  <si>
    <t>22.01.2019г.</t>
  </si>
  <si>
    <t>Гайнидин Магжан</t>
  </si>
  <si>
    <t>Нейромускулярный неосложненный сколиоз грудопоясничного отдела</t>
  </si>
  <si>
    <t>328 585 RUB</t>
  </si>
  <si>
    <t>8 000 USD</t>
  </si>
  <si>
    <t>1 780 USD</t>
  </si>
  <si>
    <t>Сембек Ажар</t>
  </si>
  <si>
    <t>Врожденный множественный артрогрипоз,первичная аксональная недостаточность нервной проводимости по перефирическим нервным стволам обеих верхних конечностей</t>
  </si>
  <si>
    <t>2019, доплата</t>
  </si>
  <si>
    <t>5 000 USD</t>
  </si>
  <si>
    <t>23.01.2019г.</t>
  </si>
  <si>
    <t>АО "Самрук-Казына"</t>
  </si>
  <si>
    <t>28.01.2019г.</t>
  </si>
  <si>
    <t>Латыпова Анастасия</t>
  </si>
  <si>
    <t>Врожденная дисфункция коры надпочечников</t>
  </si>
  <si>
    <t>РДКБ ФГБОУ ВО РНИМУ им. Н.И.Пирогова Минздрава России</t>
  </si>
  <si>
    <t>55 000 RUB</t>
  </si>
  <si>
    <t>29.01.2019г.</t>
  </si>
  <si>
    <t>Омарбаева Дильфируза</t>
  </si>
  <si>
    <t>BioDevel Professional Ltd</t>
  </si>
  <si>
    <t>441 EUR</t>
  </si>
  <si>
    <t>31.01.2019г.</t>
  </si>
  <si>
    <t>Овчинников Владислав</t>
  </si>
  <si>
    <t>Нервно-мышечное заболевание, генетика</t>
  </si>
  <si>
    <t>39 990 RUB</t>
  </si>
  <si>
    <t>Мухамеджанов Рафаэль</t>
  </si>
  <si>
    <t>Билатеральный глиоз в области задних рогов боковых желудочков, генетика</t>
  </si>
  <si>
    <t>Смирнов Максим</t>
  </si>
  <si>
    <t>2019, 3 курс/леч.</t>
  </si>
  <si>
    <t>177 600 KZT</t>
  </si>
  <si>
    <t>Жандикеева Инкар</t>
  </si>
  <si>
    <t>327 700 KZT</t>
  </si>
  <si>
    <t>30.01.2019г.</t>
  </si>
  <si>
    <t>Возмещение расходов по лечению в рамках благотворительной акции Chokolife</t>
  </si>
  <si>
    <t>ПДЖ, в т.ч. -          200 000 тг. частный спонсор</t>
  </si>
  <si>
    <t>ПДЖ, в т.ч. -          178 000 тг. частный спонсор</t>
  </si>
  <si>
    <t>Муратов Абдурахман</t>
  </si>
  <si>
    <t>Гемимегалэнцефалия,фармакорезистентная фокальная эпилепсия с вторичной генерализацией</t>
  </si>
  <si>
    <t>УФК по г.Москве (ФГАУ НМИЦН им.ак.Н.Н.Бурденко МЗ России)</t>
  </si>
  <si>
    <t>13 610 RUB</t>
  </si>
  <si>
    <t>Калдыбаев Райян</t>
  </si>
  <si>
    <t>Мукополисахаридоз,синдром Гурлера,ТКМ </t>
  </si>
  <si>
    <t>06.02.2019г.</t>
  </si>
  <si>
    <t>Дауренбек Айша</t>
  </si>
  <si>
    <t>Папилломатоз гортани,рецедивирующая форма</t>
  </si>
  <si>
    <t>LEE JONG GIL Unicompas Co LTD</t>
  </si>
  <si>
    <t>3 000 USD</t>
  </si>
  <si>
    <t>07.02.2019г.</t>
  </si>
  <si>
    <t>Аманбек Абдирасул</t>
  </si>
  <si>
    <t>Паппиломатоз гортани</t>
  </si>
  <si>
    <t>2019, 5 операция</t>
  </si>
  <si>
    <t>Шацкая Валерия</t>
  </si>
  <si>
    <t>2019, 3 операция</t>
  </si>
  <si>
    <t>119 056,83 RUB</t>
  </si>
  <si>
    <t>Шерияздан Аспендияр</t>
  </si>
  <si>
    <t>Опухоль заднего отдела 3 желудочка</t>
  </si>
  <si>
    <t>Medipolitan Saglik Hizmetleri AS</t>
  </si>
  <si>
    <t>Онласын Айдана</t>
  </si>
  <si>
    <t> Ретинопатия недоношенных 5 ст</t>
  </si>
  <si>
    <t>109 864,83 RUB</t>
  </si>
  <si>
    <t>08.02.2019г.</t>
  </si>
  <si>
    <t>Арманулы Олжас</t>
  </si>
  <si>
    <t>ВПС,атрезия легочной артерии с интактной межжелудочковой перегородкой</t>
  </si>
  <si>
    <t>УФК по Томской области НИИ кардиологии</t>
  </si>
  <si>
    <t>500 000,00 RUB</t>
  </si>
  <si>
    <t>Молдабекова Айлин</t>
  </si>
  <si>
    <t>ВПР.ЖКТ.Гастрошизис (ВПР).Катеторная инфекция.Сепсис?Флебит и ромбофлебит других локализаций</t>
  </si>
  <si>
    <t>ГБУЗ г.Москвы ДГКБ 13 им.Н.Ф.Филатова ДЗМ</t>
  </si>
  <si>
    <t>65 300,00 RUB</t>
  </si>
  <si>
    <t>3 800 USD</t>
  </si>
  <si>
    <t>Джауылбай Сымбат</t>
  </si>
  <si>
    <t>Генетика</t>
  </si>
  <si>
    <t>Имангали Ескендир</t>
  </si>
  <si>
    <t>26 000 RUB</t>
  </si>
  <si>
    <t>11.02.2019г.</t>
  </si>
  <si>
    <t>ПДЖ, в т.ч. -              2 500 000 тг. ТОО "Эко-Техникс"</t>
  </si>
  <si>
    <t>643 040,00 RUB</t>
  </si>
  <si>
    <t>12.02.2019г.</t>
  </si>
  <si>
    <t>Скандарбек Арсен</t>
  </si>
  <si>
    <t> Ретинобластома</t>
  </si>
  <si>
    <t>УФК по г.Москве (ФГБУ НМИЦ онкологии им.Н.Н.Блохина)</t>
  </si>
  <si>
    <t>13.02.2019г.</t>
  </si>
  <si>
    <t>Ибраева Ясмин</t>
  </si>
  <si>
    <t>ООО Геномед</t>
  </si>
  <si>
    <t>43 000 RUB</t>
  </si>
  <si>
    <t>15.02.2019г.</t>
  </si>
  <si>
    <t>Базарбай Айкоркем</t>
  </si>
  <si>
    <t>5 900 RUB</t>
  </si>
  <si>
    <t>ПДЖ, в т.ч. -           1 110 000 тг. частный спонсор</t>
  </si>
  <si>
    <t>частный спонсор</t>
  </si>
  <si>
    <t>Рахметдинов Шахрияр</t>
  </si>
  <si>
    <t>Билатеральная ретибластома </t>
  </si>
  <si>
    <t>УФК по г.Москве (ФГАУ НМИЦ МНТК Микрохирургия глаза им.акад.С.Н.Федорова)</t>
  </si>
  <si>
    <t>60 030 RUB</t>
  </si>
  <si>
    <t>18.02.2019г.</t>
  </si>
  <si>
    <t>400 000 RUB</t>
  </si>
  <si>
    <t>21.02.2019г.</t>
  </si>
  <si>
    <t>Калиева Алина</t>
  </si>
  <si>
    <t>Криапирин-ассоциированный периодический синдром CINCA-NOMID</t>
  </si>
  <si>
    <t>2019, генетическое исследование</t>
  </si>
  <si>
    <t>УФК по г.Москве (ФГБНУ МГНЦ)</t>
  </si>
  <si>
    <t>18 000 RUB</t>
  </si>
  <si>
    <t>Козлова Ксения</t>
  </si>
  <si>
    <t>Наличие пересаженой печени,повышение уровня трансаминаз</t>
  </si>
  <si>
    <t>918 USD</t>
  </si>
  <si>
    <t>2019, 5 курс/леч.</t>
  </si>
  <si>
    <t>26.02.2019г.</t>
  </si>
  <si>
    <t>УФК по г.Москве (ФГБУ НМИЦ онкологии им.Н.Н.Блохина МЗ России)</t>
  </si>
  <si>
    <t>Абдиева София</t>
  </si>
  <si>
    <t>Анапластическая эпиндеома</t>
  </si>
  <si>
    <t>ООО ЛДЦ МИБС</t>
  </si>
  <si>
    <t>301 690 RUB</t>
  </si>
  <si>
    <t>Кушенева Камила</t>
  </si>
  <si>
    <t>Cerebral palsy jinzhong city federation of the disabled rehabil hospital</t>
  </si>
  <si>
    <t>Кемелхан Арсен</t>
  </si>
  <si>
    <t>118 417,83 RUB</t>
  </si>
  <si>
    <t>28.02.2019г.</t>
  </si>
  <si>
    <t>Бауржанулы Ануар</t>
  </si>
  <si>
    <t>Бауржанулы Ансар</t>
  </si>
  <si>
    <t>Алиев Эмирхан</t>
  </si>
  <si>
    <t>Мукополисахаридоз</t>
  </si>
  <si>
    <t>8 140 USD</t>
  </si>
  <si>
    <t>01.03.2019г.</t>
  </si>
  <si>
    <t>04.03.2019г.</t>
  </si>
  <si>
    <t>Ердосулы Елдар</t>
  </si>
  <si>
    <t>Новообразование четверохолмия</t>
  </si>
  <si>
    <t xml:space="preserve">400 000 тг. -                 ТОО «Almaty IT telecom»,                    100 000 тг. -             ТОО "National securities and communications" </t>
  </si>
  <si>
    <t>УФК по Республике Башкортостан ФГБУ "ВЦГПХ" МЗ России</t>
  </si>
  <si>
    <t xml:space="preserve">ПДЖ, в т.ч. -              2 700 000 тг. компания ТОО "Тапервэр Казахстан" </t>
  </si>
  <si>
    <t>ПДЖ, в т.ч. -               25 000 тг. Жумадилов Ерлан Жанабилович</t>
  </si>
  <si>
    <t>05.03.2019г.</t>
  </si>
  <si>
    <t>Нуртай Руслана</t>
  </si>
  <si>
    <t>500 000 RUB</t>
  </si>
  <si>
    <t>06.03.2019г.</t>
  </si>
  <si>
    <t>Хасенов Ислам</t>
  </si>
  <si>
    <t>Нейрофиброматоз,образование околоушной подчелюстной,шейной области слева</t>
  </si>
  <si>
    <t>6 000 USD</t>
  </si>
  <si>
    <t>Серкебаев Ермек</t>
  </si>
  <si>
    <t>536 USD</t>
  </si>
  <si>
    <t>11.03.2019г.</t>
  </si>
  <si>
    <t>Жанысбек Дарын</t>
  </si>
  <si>
    <t>Xi An Brain Disease Hospital Of TCM</t>
  </si>
  <si>
    <t>6 390,47 CNY</t>
  </si>
  <si>
    <t>12.03.2019г.</t>
  </si>
  <si>
    <t>Зареева София</t>
  </si>
  <si>
    <t>169 800 KZT</t>
  </si>
  <si>
    <t>15.03.2019г.</t>
  </si>
  <si>
    <t>Федоров Данил</t>
  </si>
  <si>
    <t>Government institution The scien-pract childrens cardiac center</t>
  </si>
  <si>
    <t xml:space="preserve"> 1 552,54 ЕUR</t>
  </si>
  <si>
    <t>Сарсенов Али</t>
  </si>
  <si>
    <t>Мукополисахоридоз 4 типа</t>
  </si>
  <si>
    <t>3 500 USD</t>
  </si>
  <si>
    <t>18.03.2019г.</t>
  </si>
  <si>
    <t>Каспер Анастасия</t>
  </si>
  <si>
    <t>Портальная гипертензия,варикозное расширение вен средней и нижней трети пищевода</t>
  </si>
  <si>
    <t>Мельникова Ангелина</t>
  </si>
  <si>
    <t>ВПС,D-транспозиция магистральных сосудов, ДМП</t>
  </si>
  <si>
    <t>УФК по г.Москве (ФГБУ НМИЦССХ им.А.Н.Бакулева МЗ России)</t>
  </si>
  <si>
    <t>478 200 RUB</t>
  </si>
  <si>
    <t>2019, 4 операция</t>
  </si>
  <si>
    <t>врожденный порок сердца с высокой легочной гипертензией.</t>
  </si>
  <si>
    <t>20.03.2019г.</t>
  </si>
  <si>
    <t>Асташова Есения</t>
  </si>
  <si>
    <t>Венозная мальформация небной области</t>
  </si>
  <si>
    <t>ООО Профессиональный медицинский центр</t>
  </si>
  <si>
    <t>УФК по г.Москве (ФГБНУ НИИР им.В.А.Насоновой)</t>
  </si>
  <si>
    <t>01.04.2019г.</t>
  </si>
  <si>
    <t>2019,              лечение</t>
  </si>
  <si>
    <t>Висангириев Билал</t>
  </si>
  <si>
    <t>Лимфостаз неясного генеза</t>
  </si>
  <si>
    <t>ООО НПЦ ЛИМФА</t>
  </si>
  <si>
    <t>160 000 RUB</t>
  </si>
  <si>
    <t>Кабжапаров Сункар</t>
  </si>
  <si>
    <t>Григорьева Вероника</t>
  </si>
  <si>
    <t>2019, 8 операция</t>
  </si>
  <si>
    <t>72 371 RUB</t>
  </si>
  <si>
    <t>Улугбеков Хусан</t>
  </si>
  <si>
    <t>Ретинопатия 5 ст</t>
  </si>
  <si>
    <t>110 466,17 RUB</t>
  </si>
  <si>
    <t>Улугбеков Хасан</t>
  </si>
  <si>
    <t>Каирбеков Амир</t>
  </si>
  <si>
    <t>114 727,17 RUB</t>
  </si>
  <si>
    <t>124 284,17 RUB</t>
  </si>
  <si>
    <t>Сейдилдахан Жанель</t>
  </si>
  <si>
    <t>129 417,84 RUB</t>
  </si>
  <si>
    <t>314 310 RUB</t>
  </si>
  <si>
    <t>Валдер Анна</t>
  </si>
  <si>
    <t>Муковисцидоз, смешанная форма</t>
  </si>
  <si>
    <t>УФК по г.Москве ФГАУ НМИЦ здоровья детей МЗ России</t>
  </si>
  <si>
    <t>146 335 RUB</t>
  </si>
  <si>
    <t>03.04.2019г.</t>
  </si>
  <si>
    <t>191 410 RUB</t>
  </si>
  <si>
    <t>Пасыров Азамат</t>
  </si>
  <si>
    <t>Синдром Мебиуса</t>
  </si>
  <si>
    <t>ООО МИФРМ</t>
  </si>
  <si>
    <t>451 750 RUB</t>
  </si>
  <si>
    <t>111 937,17 RUB</t>
  </si>
  <si>
    <t>Кужахметов Мирас</t>
  </si>
  <si>
    <t>112 569,17 RUB</t>
  </si>
  <si>
    <t>40 584 RUB</t>
  </si>
  <si>
    <t>05.04.2019г.</t>
  </si>
  <si>
    <t>202 100 KZT</t>
  </si>
  <si>
    <t>Смагул Адина</t>
  </si>
  <si>
    <t>132 200 KZT</t>
  </si>
  <si>
    <t>Сабит Аяулым</t>
  </si>
  <si>
    <t>Состояние после контузии глазного яблока тяжелой степени</t>
  </si>
  <si>
    <t>Байдос Балым</t>
  </si>
  <si>
    <t>ТОО "Медикер Алатау"</t>
  </si>
  <si>
    <t>225 290 RUB</t>
  </si>
  <si>
    <t>7 770 RUB</t>
  </si>
  <si>
    <t>ПДЖ, в т.ч. -            200 000 тг. ТОО "Origami Art",       2 700 000 тг. частный спонсор,                 1 035 000 тг. ТОО «Северо-Западная трубопроводная компания «МунайТас»</t>
  </si>
  <si>
    <t>08.04.2019г.</t>
  </si>
  <si>
    <t>09.04.2019г.</t>
  </si>
  <si>
    <t>Джанаберды Алихан</t>
  </si>
  <si>
    <t>Артериовенозная мальформация левой височной доли,области базальных ганглиев,левой ножки мозга</t>
  </si>
  <si>
    <t>4 000 USD</t>
  </si>
  <si>
    <t>2019, 2 курс/лечения</t>
  </si>
  <si>
    <t>Исламов Максат</t>
  </si>
  <si>
    <t>112 433,17 RUB</t>
  </si>
  <si>
    <t>Айдаркул Курбанбек</t>
  </si>
  <si>
    <t>Амблиопия обскурационная высокая</t>
  </si>
  <si>
    <t>Koc Universitesi</t>
  </si>
  <si>
    <t>8 500 USD</t>
  </si>
  <si>
    <t>11.04.2019г.</t>
  </si>
  <si>
    <t>Экономический лицей г. Нур-Султан</t>
  </si>
  <si>
    <t>ПДЖ, в т.ч. -         250 000 тг. частный спонсор</t>
  </si>
  <si>
    <t>ПДЖ, в т.ч. -            254 420 тг. частный спонсор</t>
  </si>
  <si>
    <t>152 200 RUB</t>
  </si>
  <si>
    <t>17.04.2019г.</t>
  </si>
  <si>
    <t>Артыкбаева Аружан</t>
  </si>
  <si>
    <t>ТОО "Maksat Med"</t>
  </si>
  <si>
    <t>153 700 KZT</t>
  </si>
  <si>
    <t>10.04.2019г.</t>
  </si>
  <si>
    <t>Линейный невус</t>
  </si>
  <si>
    <t>Адилжанулы Амирхан</t>
  </si>
  <si>
    <t>УФК по г.Москве, ОСП РДКБ</t>
  </si>
  <si>
    <t>Дегтяренко Егор</t>
  </si>
  <si>
    <t>ВПС, единственный двуприточный левый желудочек</t>
  </si>
  <si>
    <t>УФК по Новосибирской обл. ФГБУ НМИЦ им.академика Е.Н.Мешалкина МЗ России</t>
  </si>
  <si>
    <t>22.04.2019г.</t>
  </si>
  <si>
    <t>Абдрахман Алихан</t>
  </si>
  <si>
    <t>24.04.2019г.</t>
  </si>
  <si>
    <t>Панцакова Вероника</t>
  </si>
  <si>
    <t>25.04.2019г.</t>
  </si>
  <si>
    <t>29.04.2019г.</t>
  </si>
  <si>
    <t>26.04.2019г.</t>
  </si>
  <si>
    <t>Жиенбай Бекнур</t>
  </si>
  <si>
    <t>122 670,17 RUB</t>
  </si>
  <si>
    <t>Серикбек Раяна</t>
  </si>
  <si>
    <t>116 046,17 RUB</t>
  </si>
  <si>
    <t>124 858,84 RUB</t>
  </si>
  <si>
    <t>Турсын Ислам</t>
  </si>
  <si>
    <t>125 643,84 RUB</t>
  </si>
  <si>
    <t>Жура Толганай</t>
  </si>
  <si>
    <t>126 627,84 RUB</t>
  </si>
  <si>
    <t>123 691,84 RUB</t>
  </si>
  <si>
    <t>ВПС, АВСД несбалансированный тип</t>
  </si>
  <si>
    <t>262 191 RUB</t>
  </si>
  <si>
    <t>Жумабаева Шугыла</t>
  </si>
  <si>
    <t>35 000 RUB</t>
  </si>
  <si>
    <t>30.04.2019г.</t>
  </si>
  <si>
    <t>LEE JONG GIL Unicompas Co LTD Seoul</t>
  </si>
  <si>
    <t>08.05.2019г.</t>
  </si>
  <si>
    <t>Кали Айдана</t>
  </si>
  <si>
    <t xml:space="preserve">Ювенильный папилломатоз гортани(подсвязачного пространства),рецедивирующего течение,рубцовый стеноз </t>
  </si>
  <si>
    <t>13.05.2019г.</t>
  </si>
  <si>
    <t>Сериков Султан</t>
  </si>
  <si>
    <t>Серикова Нурия</t>
  </si>
  <si>
    <t>119 650 KZT</t>
  </si>
  <si>
    <t>291 785 RUB</t>
  </si>
  <si>
    <t xml:space="preserve">ПДЖ, в т.ч. -               300 000 тг.  ТОО «Skills academy» </t>
  </si>
  <si>
    <t>ПДЖ, в т.ч. -           100 000 тг. ТОО " Winncom Technolodies"</t>
  </si>
  <si>
    <t>Обухов Ярослав</t>
  </si>
  <si>
    <t>120 100 KZT</t>
  </si>
  <si>
    <t>14.05.2019г.</t>
  </si>
  <si>
    <t>Ислам Азиза</t>
  </si>
  <si>
    <t>Серикова Жулдыз</t>
  </si>
  <si>
    <t>Трансплантация сердца, форс-мажор в клинике, операция по удалению аппендикса</t>
  </si>
  <si>
    <t>Fortis Hospitals.Ltd.</t>
  </si>
  <si>
    <t>5 400 USD</t>
  </si>
  <si>
    <t>52 850 RUB</t>
  </si>
  <si>
    <t>16.05.2019г.</t>
  </si>
  <si>
    <t>20.05.2019г.</t>
  </si>
  <si>
    <t>Мартынова Лейла</t>
  </si>
  <si>
    <t>БЛД, тяжелой степени, кислородозависимая, трахеобронхомаляция, высокая легочная гипертензия, генетика</t>
  </si>
  <si>
    <t>29 990 RUB</t>
  </si>
  <si>
    <t>Абай Нурислам</t>
  </si>
  <si>
    <t>Бинокулярая ретинобластома</t>
  </si>
  <si>
    <t>1 320 USD</t>
  </si>
  <si>
    <t>Понеполяк Михаил</t>
  </si>
  <si>
    <t>Дисторофический рецессивный буллезный эпидермолиз,стеноз пищевода,рубцовый фимоз</t>
  </si>
  <si>
    <t>92 960 RUB</t>
  </si>
  <si>
    <t>22.05.2019г.</t>
  </si>
  <si>
    <t>Бурдакова Виктория</t>
  </si>
  <si>
    <t>Распространенная склеродермия</t>
  </si>
  <si>
    <t xml:space="preserve">УФК по г.Санкт-Петербургу (ФГБОУ ВО СПбГПМУ МЗ России) </t>
  </si>
  <si>
    <t>85 320 RUB</t>
  </si>
  <si>
    <t>24.05.2019г.</t>
  </si>
  <si>
    <t>Акадил Жанали</t>
  </si>
  <si>
    <t>103 700 KZT</t>
  </si>
  <si>
    <t>Тохтахунов Исмаил</t>
  </si>
  <si>
    <t>Лимфома/лейкоз Беркитта</t>
  </si>
  <si>
    <t>6 400 USD</t>
  </si>
  <si>
    <t>28.05.2019г.</t>
  </si>
  <si>
    <t>Туркменбай Ержан</t>
  </si>
  <si>
    <t>Травматическое повреждение правого и левого плечевого спленения</t>
  </si>
  <si>
    <t>ООО Международный институт функциональной реконструктивной микрохирургии</t>
  </si>
  <si>
    <t>Лимфедема,липоматоз,гигантиз правой нижней конечности</t>
  </si>
  <si>
    <t>70 000 RUB</t>
  </si>
  <si>
    <t>315 487 RUB</t>
  </si>
  <si>
    <t>Данияров Таир</t>
  </si>
  <si>
    <t>Правосторонний спастический гемипарез,селективная дорзальная ризотомия</t>
  </si>
  <si>
    <t>ТОО BURC MEDICAL (БУРЧ МЕДИКАЛ)</t>
  </si>
  <si>
    <t>750 000 KZT</t>
  </si>
  <si>
    <t>Ержанулы Таир</t>
  </si>
  <si>
    <t>Левосторонний спастический гемипарез,селективная дорзальная ризотомия </t>
  </si>
  <si>
    <t>Марат Каусар</t>
  </si>
  <si>
    <t>ВПР носовых ходов(атрезия)ВПР гортани </t>
  </si>
  <si>
    <t>Бериккызы Жансезим</t>
  </si>
  <si>
    <t>Спастический тетрапарез тяжелой степени,селективная дорзальная ризотомия </t>
  </si>
  <si>
    <t>Жаксынбек Алихан</t>
  </si>
  <si>
    <t>Спастическая диплегия,селективная дорзальная ризотомия</t>
  </si>
  <si>
    <t>205 489 KZT</t>
  </si>
  <si>
    <t>19.03.2019г.</t>
  </si>
  <si>
    <t>Борашова Асель</t>
  </si>
  <si>
    <t>Лимфоаденопатия,лимфостаз мягких тканей</t>
  </si>
  <si>
    <t>1 549 672 KZT</t>
  </si>
  <si>
    <t>Штельман Милания</t>
  </si>
  <si>
    <t>Врожденная ангиодисплазия, гемангиолимфоангиома правой голени</t>
  </si>
  <si>
    <t>436 600 KZT</t>
  </si>
  <si>
    <t>467 130 KZT</t>
  </si>
  <si>
    <t>Кенжетай Бакдаулет</t>
  </si>
  <si>
    <t>Артериовенозная мальформация левой нижней конечности</t>
  </si>
  <si>
    <t>700 000 KZT</t>
  </si>
  <si>
    <t>721 199 KZT</t>
  </si>
  <si>
    <t>Тямакова Полина</t>
  </si>
  <si>
    <t>ММПР передней брюшной стенки и органов мочеполовой системы,ХБП 3ст,омфалоцеле</t>
  </si>
  <si>
    <t>ТОО Учебно-клинический центр Астана</t>
  </si>
  <si>
    <t>1 368 000 KZT</t>
  </si>
  <si>
    <t>Семененко Иван</t>
  </si>
  <si>
    <t>Гопоспадия стволовая форма, операция Бракка</t>
  </si>
  <si>
    <t>Тасболат Темирлан</t>
  </si>
  <si>
    <t>Гипоспадия стволовая форма,свищ</t>
  </si>
  <si>
    <t>Елеусиз Абдур Рахман</t>
  </si>
  <si>
    <t>Гипоспадия венозная форма, свищ</t>
  </si>
  <si>
    <t>Ергазыулы Расул</t>
  </si>
  <si>
    <t>Ерсайын Санжар</t>
  </si>
  <si>
    <t>23 547,00 RUB</t>
  </si>
  <si>
    <t>Жангабай Акерке</t>
  </si>
  <si>
    <t>15 066,00 RUB</t>
  </si>
  <si>
    <t>174 100 RUB</t>
  </si>
  <si>
    <t>29.05.2019г.</t>
  </si>
  <si>
    <t>Сисенбай Нариман</t>
  </si>
  <si>
    <t>111 754,17 RUB</t>
  </si>
  <si>
    <t>30.05.2019г.</t>
  </si>
  <si>
    <t>Попова Валерия</t>
  </si>
  <si>
    <t>Атрофия дисков зрительных нервов</t>
  </si>
  <si>
    <t>63 600,00 RUB</t>
  </si>
  <si>
    <t>ООО Академик</t>
  </si>
  <si>
    <t>19 800 USD</t>
  </si>
  <si>
    <t>247 850 RUB</t>
  </si>
  <si>
    <t>ПДЖ, в т.ч.  -      42 000 тг.  Компания "Студия - 33 - Территория отдыха и развития"</t>
  </si>
  <si>
    <t>Федосов Артем</t>
  </si>
  <si>
    <t>636 332,24 KZT</t>
  </si>
  <si>
    <t>05.06.2019г.</t>
  </si>
  <si>
    <t>Другая вторичная гипертензия,аномалия развития сосудов почек</t>
  </si>
  <si>
    <t>ГБУЗ Морозовская ДГКБ ДЗМ г.Москва</t>
  </si>
  <si>
    <t>72 500,00 RUB</t>
  </si>
  <si>
    <t>04.06.2019г.</t>
  </si>
  <si>
    <t>Коптлеу Ернур</t>
  </si>
  <si>
    <t>Ретинобластома справа</t>
  </si>
  <si>
    <t>УФК по г.Москве, ФГБУ НМИЦ онкологии им.Н.Н.Блохина</t>
  </si>
  <si>
    <t>162 191,00 RUB</t>
  </si>
  <si>
    <t>Атабай Айгерим</t>
  </si>
  <si>
    <t>Врожденная дисфункция коры надпочечников </t>
  </si>
  <si>
    <t>10.06.2019г.</t>
  </si>
  <si>
    <t>ДБ АО «Сбербанк»</t>
  </si>
  <si>
    <t>ПДЖ, в т.ч. -            263 071 тг.            ДБ АО "Сбербанк"</t>
  </si>
  <si>
    <t>Рябченко Мария</t>
  </si>
  <si>
    <t>Фокальная кортикальная дисплазия теменой доли слева.Эпилептогенные очаги</t>
  </si>
  <si>
    <t>11.06.2019г.</t>
  </si>
  <si>
    <t>Хисамутдинова Янина</t>
  </si>
  <si>
    <t>Обширный линейный невус</t>
  </si>
  <si>
    <t>Hadassah Medical Organization</t>
  </si>
  <si>
    <t>12.06.2019г.</t>
  </si>
  <si>
    <t>2019, 7 операция</t>
  </si>
  <si>
    <t>28 763,00 RUB</t>
  </si>
  <si>
    <t>14.06.2019г.</t>
  </si>
  <si>
    <t>87 985,00 RUB</t>
  </si>
  <si>
    <t>Козлов Марк</t>
  </si>
  <si>
    <t>2019, 8 курс/леч.</t>
  </si>
  <si>
    <t>105 100 KZT</t>
  </si>
  <si>
    <t>18.06.2019г.</t>
  </si>
  <si>
    <t xml:space="preserve">ПДЖ, в т.ч. -                530 000 тг. ТОО «Green Land Alatau» </t>
  </si>
  <si>
    <t xml:space="preserve">ПДЖ, в т.ч. -               50 000 тг. ТОО "Antarium Group" </t>
  </si>
  <si>
    <t>ПДЖ, в т.ч. -         1 500 000 тг. ТОО "ВТЦ Тяжпрессмаш"</t>
  </si>
  <si>
    <t>АО "Банк Развития Казахстана"</t>
  </si>
  <si>
    <t>Тимур Кемель</t>
  </si>
  <si>
    <t>Колесников Никита</t>
  </si>
  <si>
    <t>Целиакия атипичная форма.Синдром Мальабсорции.Генетика</t>
  </si>
  <si>
    <t>109 500,00 RUB</t>
  </si>
  <si>
    <t>19.06.2019г.</t>
  </si>
  <si>
    <t>Федорова Аделина</t>
  </si>
  <si>
    <t>Туберозный склероз Q 85.1. Cимптоматическая фокальная эпилепсия. Рабдомиома сердца.(ГЕНЕТИКА)</t>
  </si>
  <si>
    <t>35 000,00 RUB</t>
  </si>
  <si>
    <t>10 000,00 RUB</t>
  </si>
  <si>
    <t>2019,           1 операция</t>
  </si>
  <si>
    <t>24.06.2019г.</t>
  </si>
  <si>
    <t>Рашаев Кушали</t>
  </si>
  <si>
    <t>Агнезия правой почки,ХПН ед.левой почки,нейрогеннная дисфункция мочевого пузыря</t>
  </si>
  <si>
    <t>25.06.2019г.</t>
  </si>
  <si>
    <t>Бинокулярная ретинобластома</t>
  </si>
  <si>
    <t>53 657,00 RUB</t>
  </si>
  <si>
    <t>2019,                1 операция</t>
  </si>
  <si>
    <t>128 919,84 RUB</t>
  </si>
  <si>
    <t>287 401,00 RUB</t>
  </si>
  <si>
    <t>ПДЖ, в т.ч. -          300 000 тг. ТОО "Bau Group"</t>
  </si>
  <si>
    <t>ПДЖ, в т.ч. -      300 000 тг. ТОО "GLOBAL WINE AND SPIRITS"</t>
  </si>
  <si>
    <t>ПДЖ, в т.ч. -      368 252 тг. от сотрудников компании УК "Қазмедиа орталығы"</t>
  </si>
  <si>
    <t>ПДЖ, в т.ч. -        211 000 тг. от сотрудников компании «Мир паркета»</t>
  </si>
  <si>
    <t>ПДЖ, в т.ч. -           205 500 тг. от сотрудников компании «Мир паркета»</t>
  </si>
  <si>
    <t>ПДЖ, в т.ч. -            410 500 тг. от сотрудников компании «Мир паркета»</t>
  </si>
  <si>
    <t>ПДЖ, в т.ч. -       203 000 тг. от сотрудников компании «Мир паркета»</t>
  </si>
  <si>
    <t>ПДЖ, в т.ч. -           250 000 тг. частный спонсор</t>
  </si>
  <si>
    <t>ПДЖ, в т.ч. -            405 300 тг. частный спонсор</t>
  </si>
  <si>
    <t>ПДЖ, в т.ч. -         200 000 тг. частный спонсор</t>
  </si>
  <si>
    <t>Астафьев Никита</t>
  </si>
  <si>
    <t>Нейробластома,MIBG -терапия</t>
  </si>
  <si>
    <t>MLP Saglik Hizmetleri.A.S.</t>
  </si>
  <si>
    <t>26.06.2019г.</t>
  </si>
  <si>
    <t>59 820,00 RUB</t>
  </si>
  <si>
    <t>Балкен Раяна</t>
  </si>
  <si>
    <t>02.07.2019г.</t>
  </si>
  <si>
    <t>Сайлаубай Альмансур</t>
  </si>
  <si>
    <t>Медуллобластома ЗЧЯ (онкология)</t>
  </si>
  <si>
    <t>220 000,00 RUB</t>
  </si>
  <si>
    <t>10 540,00 RUB</t>
  </si>
  <si>
    <t>8 600 USD</t>
  </si>
  <si>
    <t>03.07.2019г.</t>
  </si>
  <si>
    <t>118 074,84 RUB</t>
  </si>
  <si>
    <t>Кенешов Ринат</t>
  </si>
  <si>
    <t>Увеит рецидивирующий,неясной этиологии.Лентовидная дегененирация роговицы.Помутнение стекловидного тела</t>
  </si>
  <si>
    <t>126 161,84 RUB</t>
  </si>
  <si>
    <t>123 371,84 RUB</t>
  </si>
  <si>
    <t>2019, 6 курс/леч.</t>
  </si>
  <si>
    <t>112 500 KZT</t>
  </si>
  <si>
    <t>Джанабаев Санжар</t>
  </si>
  <si>
    <t>142 900 KZT</t>
  </si>
  <si>
    <t>05.07.2019г.</t>
  </si>
  <si>
    <t>131 620,00 RUB</t>
  </si>
  <si>
    <t>72 450 RUB</t>
  </si>
  <si>
    <t>34 540,00 RUB</t>
  </si>
  <si>
    <t>09.07.2019г.</t>
  </si>
  <si>
    <t>Таиров Нурбек</t>
  </si>
  <si>
    <t>10.07.2019г.</t>
  </si>
  <si>
    <t>Бексултан Айша</t>
  </si>
  <si>
    <t>Врожденный порок сердца, Тетрадо Фалло, ДМЖП, артезия легочной артерии</t>
  </si>
  <si>
    <t>1 597,49 EUR</t>
  </si>
  <si>
    <t>11.07.2019г.</t>
  </si>
  <si>
    <t>Зиндяев Кирилл</t>
  </si>
  <si>
    <t>Единственная левая почка,агенезия правой почки,ХБП 2-3ст.</t>
  </si>
  <si>
    <t>30 590,00 RUB</t>
  </si>
  <si>
    <t>микрофтальм, микокорнеля колобома сосудистой оболочки</t>
  </si>
  <si>
    <t>Лаврентович Карина</t>
  </si>
  <si>
    <t>ПДЖ, в т.ч. -      50 000 тг. ТОО «МедЭксперт Евразия»,              50 000 тг. ТОО «МедМедиа Казахстан»</t>
  </si>
  <si>
    <t>78 500 RUB</t>
  </si>
  <si>
    <t>Талгат Альхая</t>
  </si>
  <si>
    <t>Синдром короткой кишки</t>
  </si>
  <si>
    <t>600 000,00 RUB</t>
  </si>
  <si>
    <t>16.07.2019г.</t>
  </si>
  <si>
    <t>19.07.2019г.</t>
  </si>
  <si>
    <t>153 200,00 RUB</t>
  </si>
  <si>
    <t>22.07.2019г.</t>
  </si>
  <si>
    <t>Титаренко Ариана</t>
  </si>
  <si>
    <t>Нейробластома, MIBG - терапия</t>
  </si>
  <si>
    <t>3 600 USD</t>
  </si>
  <si>
    <t>17.07.2019г.</t>
  </si>
  <si>
    <t>39 050 RUB</t>
  </si>
  <si>
    <t>18.07.2019г.</t>
  </si>
  <si>
    <t>ПДЖ, в т.ч. -       600 000 тг. частный спонсор</t>
  </si>
  <si>
    <t>ПДЖ, в т.ч. -                1 000 000 тг. ТОО "HIGH TECHNOLOGY SYSTEMS"</t>
  </si>
  <si>
    <t>Баязитова Ульяна</t>
  </si>
  <si>
    <t>ВПР аноректальной зоны</t>
  </si>
  <si>
    <t xml:space="preserve"> 9 000 USD</t>
  </si>
  <si>
    <t>29.07.2019г.</t>
  </si>
  <si>
    <t>3 462 USD</t>
  </si>
  <si>
    <t>30.07.2019г.</t>
  </si>
  <si>
    <t>Бабак Виктория</t>
  </si>
  <si>
    <t>Бета-талассемия,мастоцитома</t>
  </si>
  <si>
    <t>7 500 USD</t>
  </si>
  <si>
    <t>Ляшенков Илья</t>
  </si>
  <si>
    <t>Дисплазия соеденительной ткани,реактивная артропатия</t>
  </si>
  <si>
    <t>2 204 USD</t>
  </si>
  <si>
    <t>Жумадилда Нурмухаммед</t>
  </si>
  <si>
    <t>УФК по г.Санкт-Петербургу ФГБУ НИДОИ им.Г.И.Турнера МЗ России</t>
  </si>
  <si>
    <t>143 737,69 RUB</t>
  </si>
  <si>
    <t>05.08.2019г.</t>
  </si>
  <si>
    <t>Федин Илья</t>
  </si>
  <si>
    <t>ООО Реабилитационный центр Сакура</t>
  </si>
  <si>
    <t>16 500 RUB</t>
  </si>
  <si>
    <t>260 840,00 RUB</t>
  </si>
  <si>
    <t>166 175 RUB</t>
  </si>
  <si>
    <t>17 763,00 RUB</t>
  </si>
  <si>
    <t>Тулендиев Дулат</t>
  </si>
  <si>
    <t>Хроническая надпочечниковая недостаточность,сольтеряющая форма</t>
  </si>
  <si>
    <t>2019, 2 этап леч.</t>
  </si>
  <si>
    <t>46 940 RUB</t>
  </si>
  <si>
    <t>25.03.2019г.</t>
  </si>
  <si>
    <t>Тулендиева Камила</t>
  </si>
  <si>
    <t>Хроническая надпочечниковая недостаточность, вирильная форма</t>
  </si>
  <si>
    <t>51 990 RUB</t>
  </si>
  <si>
    <t xml:space="preserve">ПДЖ, в т.ч. -           4 000 000 тг. ТОО "Эко-Техникс"           </t>
  </si>
  <si>
    <t xml:space="preserve"> 2 950 USD</t>
  </si>
  <si>
    <t>550 USD</t>
  </si>
  <si>
    <t>31 200 RUB</t>
  </si>
  <si>
    <t>06.08.2019г.</t>
  </si>
  <si>
    <t>Нурсалханов Султан</t>
  </si>
  <si>
    <t>Недеферинцированная нейробластома правого надпочечника с инвазией в печень</t>
  </si>
  <si>
    <t>ВПР, артрогрипоз</t>
  </si>
  <si>
    <t>Soonchunhyang University Bucheon Hospital                          г.Сеул, Корея</t>
  </si>
  <si>
    <t>10 000 USD</t>
  </si>
  <si>
    <t>08.08.2019г.</t>
  </si>
  <si>
    <t>7 428,25 USD</t>
  </si>
  <si>
    <t>12.08.2019г.</t>
  </si>
  <si>
    <t>Амирсана Айсана</t>
  </si>
  <si>
    <t>Фокальная эпилепсия (Генетика)</t>
  </si>
  <si>
    <t>68 500 RUB</t>
  </si>
  <si>
    <t>Кан Полина</t>
  </si>
  <si>
    <t>112 085 RUB</t>
  </si>
  <si>
    <t>Кан (Лякишева) Татьяна</t>
  </si>
  <si>
    <t>128 335 RUB</t>
  </si>
  <si>
    <t>Седченко Милена</t>
  </si>
  <si>
    <t>Буллезный эпидермолиз</t>
  </si>
  <si>
    <t>Буллезный эпидермолиз?</t>
  </si>
  <si>
    <t>140 275 RUB</t>
  </si>
  <si>
    <t>2019, 4 курс/леч.</t>
  </si>
  <si>
    <t>о перечисленных средствах за лечение детей на 13.08.2019</t>
  </si>
  <si>
    <t>609 616 KZT</t>
  </si>
  <si>
    <t>УФК по Курганской области (ФГБУ РНЦ ВТО им.акад.Г.А.Илизарова МЗ России</t>
  </si>
  <si>
    <t xml:space="preserve">ПДЖ, в т.ч. -            300 000 тг. ТОО «Skills academy» </t>
  </si>
  <si>
    <t>ПДЖ, в т.ч. -                  1 500 000 тг. ТОО "Эко-Техникс"</t>
  </si>
  <si>
    <t>ПДЖ, в т.ч. -          171 270 тг. Академия им. Т.Жургенева,        200 000 тг.  ТОО "Кузница Рекламы",                300 000 тг.  частный спонсор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</si>
</sst>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sz val="10"/>
      <name val="Verdana"/>
      <family val="2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4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0" fontId="0" fillId="5" borderId="0" xfId="0" applyFill="1"/>
    <xf numFmtId="0" fontId="3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/>
    </xf>
    <xf numFmtId="0" fontId="3" fillId="3" borderId="11" xfId="0" applyNumberFormat="1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right" vertical="top" wrapText="1"/>
    </xf>
    <xf numFmtId="3" fontId="3" fillId="3" borderId="6" xfId="0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right" vertical="top" wrapText="1"/>
    </xf>
    <xf numFmtId="164" fontId="6" fillId="3" borderId="6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14" fontId="3" fillId="8" borderId="9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4" fontId="3" fillId="4" borderId="7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164" fontId="3" fillId="4" borderId="9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top" wrapText="1"/>
    </xf>
    <xf numFmtId="0" fontId="4" fillId="7" borderId="0" xfId="0" applyFont="1" applyFill="1" applyAlignment="1">
      <alignment vertical="top"/>
    </xf>
    <xf numFmtId="0" fontId="5" fillId="7" borderId="0" xfId="0" applyFont="1" applyFill="1" applyBorder="1" applyAlignment="1">
      <alignment horizontal="left" vertical="top" wrapText="1"/>
    </xf>
    <xf numFmtId="3" fontId="5" fillId="7" borderId="0" xfId="0" applyNumberFormat="1" applyFont="1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164" fontId="0" fillId="5" borderId="0" xfId="0" applyNumberFormat="1" applyFill="1"/>
    <xf numFmtId="164" fontId="0" fillId="0" borderId="0" xfId="0" applyNumberFormat="1" applyFill="1"/>
    <xf numFmtId="164" fontId="0" fillId="5" borderId="0" xfId="0" applyNumberFormat="1" applyFill="1" applyAlignment="1">
      <alignment vertical="top" wrapText="1"/>
    </xf>
    <xf numFmtId="164" fontId="1" fillId="0" borderId="0" xfId="0" applyNumberFormat="1" applyFont="1" applyFill="1" applyAlignment="1">
      <alignment horizontal="right" vertical="top"/>
    </xf>
    <xf numFmtId="0" fontId="4" fillId="5" borderId="0" xfId="0" applyFont="1" applyFill="1" applyAlignment="1">
      <alignment vertical="top"/>
    </xf>
    <xf numFmtId="0" fontId="7" fillId="5" borderId="0" xfId="0" applyFont="1" applyFill="1" applyBorder="1" applyAlignment="1">
      <alignment vertical="top" wrapText="1"/>
    </xf>
    <xf numFmtId="0" fontId="0" fillId="5" borderId="0" xfId="0" applyFill="1" applyAlignment="1"/>
    <xf numFmtId="14" fontId="3" fillId="5" borderId="7" xfId="0" applyNumberFormat="1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4" borderId="7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3" fontId="3" fillId="9" borderId="0" xfId="0" applyNumberFormat="1" applyFont="1" applyFill="1" applyBorder="1" applyAlignment="1">
      <alignment vertical="top"/>
    </xf>
    <xf numFmtId="3" fontId="3" fillId="3" borderId="16" xfId="0" applyNumberFormat="1" applyFont="1" applyFill="1" applyBorder="1" applyAlignment="1">
      <alignment vertical="top"/>
    </xf>
    <xf numFmtId="0" fontId="3" fillId="4" borderId="7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3" fontId="3" fillId="5" borderId="9" xfId="0" applyNumberFormat="1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14" fontId="3" fillId="5" borderId="9" xfId="0" applyNumberFormat="1" applyFont="1" applyFill="1" applyBorder="1" applyAlignment="1">
      <alignment vertical="center"/>
    </xf>
    <xf numFmtId="0" fontId="0" fillId="5" borderId="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3" fontId="3" fillId="5" borderId="7" xfId="0" applyNumberFormat="1" applyFont="1" applyFill="1" applyBorder="1" applyAlignment="1">
      <alignment horizontal="righ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 wrapText="1"/>
    </xf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3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164" fontId="0" fillId="5" borderId="0" xfId="0" applyNumberFormat="1" applyFill="1" applyAlignment="1">
      <alignment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4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vertical="top" wrapText="1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8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top" wrapText="1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/>
    </xf>
    <xf numFmtId="0" fontId="0" fillId="5" borderId="18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top" wrapText="1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0" fillId="5" borderId="7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vertical="top" wrapText="1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0" fillId="5" borderId="8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3" fontId="3" fillId="5" borderId="8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4" borderId="9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5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right" vertical="center"/>
    </xf>
    <xf numFmtId="14" fontId="3" fillId="5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5" borderId="19" xfId="0" applyFill="1" applyBorder="1" applyAlignment="1">
      <alignment wrapText="1"/>
    </xf>
    <xf numFmtId="0" fontId="0" fillId="0" borderId="19" xfId="0" applyBorder="1" applyAlignment="1"/>
    <xf numFmtId="0" fontId="3" fillId="5" borderId="1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1"/>
  <sheetViews>
    <sheetView tabSelected="1" topLeftCell="A19" zoomScale="85" zoomScaleNormal="85" workbookViewId="0">
      <selection activeCell="F25" sqref="F25"/>
    </sheetView>
  </sheetViews>
  <sheetFormatPr defaultRowHeight="12.75" x14ac:dyDescent="0.2"/>
  <cols>
    <col min="1" max="1" width="4.85546875" style="1" customWidth="1"/>
    <col min="2" max="2" width="17.28515625" style="2" customWidth="1"/>
    <col min="3" max="3" width="5.140625" style="3" customWidth="1"/>
    <col min="4" max="4" width="18.28515625" style="3" customWidth="1"/>
    <col min="5" max="5" width="10.5703125" style="3" customWidth="1"/>
    <col min="6" max="6" width="18.5703125" style="3" customWidth="1"/>
    <col min="7" max="7" width="14.5703125" style="4" customWidth="1"/>
    <col min="8" max="8" width="16" style="14" customWidth="1"/>
    <col min="9" max="9" width="4.140625" style="5" customWidth="1"/>
    <col min="10" max="10" width="5.140625" style="5" customWidth="1"/>
    <col min="11" max="11" width="7.28515625" style="6" customWidth="1"/>
    <col min="12" max="12" width="12.140625" style="6" customWidth="1"/>
    <col min="13" max="13" width="11" style="7" customWidth="1"/>
    <col min="14" max="14" width="15.5703125" style="8" customWidth="1"/>
    <col min="15" max="15" width="10.7109375" style="8" bestFit="1" customWidth="1"/>
    <col min="16" max="16" width="9.140625" style="8"/>
  </cols>
  <sheetData>
    <row r="1" spans="1:16" ht="24.75" customHeight="1" x14ac:dyDescent="0.2">
      <c r="B1" s="461" t="s">
        <v>0</v>
      </c>
      <c r="C1" s="461"/>
      <c r="D1" s="461"/>
      <c r="E1" s="461"/>
      <c r="F1" s="461"/>
      <c r="G1" s="461"/>
      <c r="H1" s="9"/>
    </row>
    <row r="2" spans="1:16" ht="18.75" customHeight="1" x14ac:dyDescent="0.2">
      <c r="B2" s="461" t="s">
        <v>618</v>
      </c>
      <c r="C2" s="461"/>
      <c r="D2" s="461"/>
      <c r="E2" s="461"/>
      <c r="F2" s="461"/>
      <c r="G2" s="461"/>
      <c r="H2" s="9"/>
    </row>
    <row r="3" spans="1:16" ht="18.75" customHeight="1" x14ac:dyDescent="0.2">
      <c r="B3" s="45"/>
      <c r="C3" s="45"/>
      <c r="D3" s="45"/>
      <c r="E3" s="45"/>
      <c r="F3" s="45"/>
      <c r="G3" s="45"/>
      <c r="H3" s="9"/>
    </row>
    <row r="4" spans="1:16" ht="237.6" customHeight="1" x14ac:dyDescent="0.2">
      <c r="B4" s="464" t="s">
        <v>21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</row>
    <row r="5" spans="1:16" ht="6" customHeight="1" x14ac:dyDescent="0.2">
      <c r="B5" s="9"/>
      <c r="C5" s="9"/>
      <c r="D5" s="9"/>
      <c r="E5" s="9"/>
      <c r="F5" s="9"/>
      <c r="G5" s="10"/>
    </row>
    <row r="6" spans="1:16" ht="138.6" customHeight="1" x14ac:dyDescent="0.2">
      <c r="A6" s="16"/>
      <c r="B6" s="46"/>
      <c r="C6" s="46"/>
      <c r="D6" s="46" t="s">
        <v>1</v>
      </c>
      <c r="E6" s="46" t="s">
        <v>18</v>
      </c>
      <c r="F6" s="63" t="s">
        <v>12</v>
      </c>
      <c r="G6" s="46"/>
      <c r="H6"/>
      <c r="I6"/>
      <c r="J6"/>
      <c r="K6"/>
      <c r="L6"/>
      <c r="M6"/>
      <c r="N6"/>
      <c r="O6"/>
      <c r="P6"/>
    </row>
    <row r="7" spans="1:16" s="12" customFormat="1" ht="18.75" customHeight="1" x14ac:dyDescent="0.2">
      <c r="A7" s="15"/>
      <c r="B7" s="47">
        <v>2007</v>
      </c>
      <c r="C7" s="48"/>
      <c r="D7" s="47">
        <v>9</v>
      </c>
      <c r="E7" s="47">
        <v>11</v>
      </c>
      <c r="F7" s="49">
        <v>19264780</v>
      </c>
      <c r="G7" s="50"/>
    </row>
    <row r="8" spans="1:16" s="12" customFormat="1" ht="18.75" customHeight="1" x14ac:dyDescent="0.2">
      <c r="A8" s="15"/>
      <c r="B8" s="47">
        <v>2008</v>
      </c>
      <c r="C8" s="48"/>
      <c r="D8" s="47">
        <v>44</v>
      </c>
      <c r="E8" s="47">
        <v>45</v>
      </c>
      <c r="F8" s="49">
        <v>40719198</v>
      </c>
      <c r="G8" s="50"/>
    </row>
    <row r="9" spans="1:16" s="12" customFormat="1" ht="18.75" customHeight="1" x14ac:dyDescent="0.2">
      <c r="A9" s="15"/>
      <c r="B9" s="47">
        <v>2009</v>
      </c>
      <c r="C9" s="47"/>
      <c r="D9" s="47">
        <v>56</v>
      </c>
      <c r="E9" s="47">
        <v>58</v>
      </c>
      <c r="F9" s="49">
        <v>47911534</v>
      </c>
      <c r="G9" s="50"/>
    </row>
    <row r="10" spans="1:16" s="12" customFormat="1" ht="18.75" customHeight="1" x14ac:dyDescent="0.2">
      <c r="A10" s="15"/>
      <c r="B10" s="47">
        <v>2010</v>
      </c>
      <c r="C10" s="47"/>
      <c r="D10" s="47">
        <v>111</v>
      </c>
      <c r="E10" s="47">
        <v>117</v>
      </c>
      <c r="F10" s="51">
        <v>105713912</v>
      </c>
      <c r="G10" s="50"/>
    </row>
    <row r="11" spans="1:16" s="12" customFormat="1" ht="18.75" customHeight="1" x14ac:dyDescent="0.2">
      <c r="A11" s="15"/>
      <c r="B11" s="47">
        <v>2011</v>
      </c>
      <c r="C11" s="47"/>
      <c r="D11" s="47">
        <v>50</v>
      </c>
      <c r="E11" s="47">
        <v>66</v>
      </c>
      <c r="F11" s="49">
        <v>70729871</v>
      </c>
      <c r="G11" s="50"/>
    </row>
    <row r="12" spans="1:16" s="12" customFormat="1" ht="18.75" customHeight="1" x14ac:dyDescent="0.2">
      <c r="A12" s="15"/>
      <c r="B12" s="47">
        <v>2012</v>
      </c>
      <c r="C12" s="47"/>
      <c r="D12" s="47">
        <v>38</v>
      </c>
      <c r="E12" s="47">
        <v>58</v>
      </c>
      <c r="F12" s="49">
        <v>73901898</v>
      </c>
      <c r="G12" s="50"/>
    </row>
    <row r="13" spans="1:16" s="12" customFormat="1" ht="18.75" customHeight="1" x14ac:dyDescent="0.2">
      <c r="A13" s="15"/>
      <c r="B13" s="47">
        <v>2013</v>
      </c>
      <c r="C13" s="47"/>
      <c r="D13" s="47">
        <v>337</v>
      </c>
      <c r="E13" s="47">
        <v>465</v>
      </c>
      <c r="F13" s="49">
        <v>396657790</v>
      </c>
      <c r="G13" s="50"/>
    </row>
    <row r="14" spans="1:16" s="12" customFormat="1" ht="18.75" customHeight="1" x14ac:dyDescent="0.2">
      <c r="A14" s="15"/>
      <c r="B14" s="47">
        <v>2014</v>
      </c>
      <c r="C14" s="47"/>
      <c r="D14" s="47">
        <v>299</v>
      </c>
      <c r="E14" s="49">
        <v>540</v>
      </c>
      <c r="F14" s="49">
        <v>588073529</v>
      </c>
      <c r="G14" s="50"/>
    </row>
    <row r="15" spans="1:16" s="12" customFormat="1" ht="18.75" customHeight="1" x14ac:dyDescent="0.2">
      <c r="A15" s="15"/>
      <c r="B15" s="47">
        <v>2015</v>
      </c>
      <c r="C15" s="47"/>
      <c r="D15" s="61">
        <v>368</v>
      </c>
      <c r="E15" s="62">
        <v>466</v>
      </c>
      <c r="F15" s="62">
        <v>487010099</v>
      </c>
      <c r="G15" s="50"/>
    </row>
    <row r="16" spans="1:16" s="12" customFormat="1" ht="18.75" customHeight="1" x14ac:dyDescent="0.2">
      <c r="A16" s="15"/>
      <c r="B16" s="61">
        <v>2016</v>
      </c>
      <c r="C16" s="61"/>
      <c r="D16" s="61">
        <v>74</v>
      </c>
      <c r="E16" s="62">
        <f>2+5+16+8+4+1+2+1+3+7+4+1+8+6+6+12+13+1+2+6+3+3+3+5+1+4+4+5+11+6+2+3</f>
        <v>158</v>
      </c>
      <c r="F16" s="62">
        <v>312962053</v>
      </c>
      <c r="G16" s="50"/>
    </row>
    <row r="17" spans="1:31" s="78" customFormat="1" ht="18.75" customHeight="1" x14ac:dyDescent="0.2">
      <c r="A17" s="76"/>
      <c r="B17" s="61">
        <v>2017</v>
      </c>
      <c r="C17" s="61"/>
      <c r="D17" s="61">
        <f>4+3+1+3+1+2+2+5+15+4+3+5+5+1+1+1+5+1+4+2+3+3+3+2+1+5+3+1+1+1+3+1+3</f>
        <v>98</v>
      </c>
      <c r="E17" s="62">
        <f>9+5+2+3+6+3+5+5+20+10+10+7+7+2+5+3+8+2+3+7+5+6+4+6+2+4+10+5+1+2+2+5+3+5+4</f>
        <v>186</v>
      </c>
      <c r="F17" s="62">
        <v>511748446</v>
      </c>
      <c r="G17" s="77"/>
    </row>
    <row r="18" spans="1:31" s="11" customFormat="1" ht="18.75" customHeight="1" x14ac:dyDescent="0.2">
      <c r="A18" s="76"/>
      <c r="B18" s="61">
        <v>2018</v>
      </c>
      <c r="C18" s="61"/>
      <c r="D18" s="61">
        <f>3+2+4+7+4+4+2+2+2+4+1+3+2+2+4+2+2+3-1+3+2+5+2+2+5+4+3+1+4+1+4+2+8+1+1</f>
        <v>100</v>
      </c>
      <c r="E18" s="62">
        <f>5+5+6+5+8+8+2+5+9+7+3+3+7+5+1+7+6+5+6+1+4+5-1+10+6+6+2+5+2+8+1+7+3+1+6+3+1+8+3+13+1+1+1</f>
        <v>200</v>
      </c>
      <c r="F18" s="62">
        <v>422501655</v>
      </c>
      <c r="G18" s="54"/>
    </row>
    <row r="19" spans="1:31" s="11" customFormat="1" ht="18.75" customHeight="1" x14ac:dyDescent="0.2">
      <c r="A19" s="68"/>
      <c r="B19" s="69">
        <v>2019</v>
      </c>
      <c r="C19" s="69"/>
      <c r="D19" s="69">
        <f>1+2+2+3+5+3+1+4+2+1+6+6+1+1+4+1+2+4+4+12+1+2+2+1+2+3+2+1+3+3</f>
        <v>85</v>
      </c>
      <c r="E19" s="70">
        <f>5+3+3+6+10+3+1+7+3+6+7+7+4+3+6+1+4+6+5+14+5+3+5+5+9+4+2+2+4+2+5</f>
        <v>150</v>
      </c>
      <c r="F19" s="70">
        <f>L238</f>
        <v>254403894.7193459</v>
      </c>
      <c r="G19" s="54"/>
    </row>
    <row r="20" spans="1:31" s="11" customFormat="1" ht="31.5" customHeight="1" x14ac:dyDescent="0.2">
      <c r="A20" s="17"/>
      <c r="B20" s="462" t="s">
        <v>34</v>
      </c>
      <c r="C20" s="462"/>
      <c r="D20" s="52">
        <f>SUM(D7:D19)</f>
        <v>1669</v>
      </c>
      <c r="E20" s="52">
        <f>SUM(E7:E19)</f>
        <v>2520</v>
      </c>
      <c r="F20" s="53">
        <f>SUM(F7:F19)</f>
        <v>3331598659.719346</v>
      </c>
      <c r="G20" s="54"/>
    </row>
    <row r="21" spans="1:31" s="11" customFormat="1" ht="29.45" customHeight="1" x14ac:dyDescent="0.2">
      <c r="A21" s="17"/>
      <c r="B21" s="463" t="s">
        <v>17</v>
      </c>
      <c r="C21" s="463"/>
      <c r="D21" s="55">
        <v>29</v>
      </c>
      <c r="E21" s="55">
        <v>30</v>
      </c>
      <c r="F21" s="51">
        <v>26996403</v>
      </c>
      <c r="G21" s="54"/>
    </row>
    <row r="22" spans="1:31" s="11" customFormat="1" ht="41.45" customHeight="1" x14ac:dyDescent="0.2">
      <c r="A22" s="17"/>
      <c r="B22" s="463" t="s">
        <v>15</v>
      </c>
      <c r="C22" s="463"/>
      <c r="D22" s="55">
        <v>9</v>
      </c>
      <c r="E22" s="55">
        <v>9</v>
      </c>
      <c r="F22" s="51">
        <v>4177350</v>
      </c>
      <c r="G22" s="54"/>
    </row>
    <row r="23" spans="1:31" s="11" customFormat="1" ht="28.5" customHeight="1" x14ac:dyDescent="0.2">
      <c r="A23" s="17"/>
      <c r="B23" s="463" t="s">
        <v>16</v>
      </c>
      <c r="C23" s="463"/>
      <c r="D23" s="55">
        <v>20</v>
      </c>
      <c r="E23" s="55">
        <v>21</v>
      </c>
      <c r="F23" s="51">
        <v>7731150</v>
      </c>
      <c r="G23" s="54"/>
    </row>
    <row r="24" spans="1:31" s="12" customFormat="1" ht="68.45" customHeight="1" x14ac:dyDescent="0.2">
      <c r="A24" s="15"/>
      <c r="B24" s="471" t="s">
        <v>20</v>
      </c>
      <c r="C24" s="471"/>
      <c r="D24" s="47">
        <v>20</v>
      </c>
      <c r="E24" s="49">
        <v>20</v>
      </c>
      <c r="F24" s="56"/>
      <c r="G24" s="50"/>
    </row>
    <row r="25" spans="1:31" s="12" customFormat="1" ht="55.9" customHeight="1" x14ac:dyDescent="0.2">
      <c r="A25" s="18"/>
      <c r="B25" s="465" t="s">
        <v>33</v>
      </c>
      <c r="C25" s="465"/>
      <c r="D25" s="46">
        <f>SUM(D20:D24)</f>
        <v>1747</v>
      </c>
      <c r="E25" s="57">
        <f>SUM(E20:E24)</f>
        <v>2600</v>
      </c>
      <c r="F25" s="57">
        <f>SUM(F20:F24)</f>
        <v>3370503562.719346</v>
      </c>
      <c r="G25" s="58"/>
    </row>
    <row r="26" spans="1:31" s="12" customFormat="1" ht="27" customHeight="1" x14ac:dyDescent="0.2">
      <c r="A26" s="17"/>
      <c r="B26" s="55" t="s">
        <v>10</v>
      </c>
      <c r="C26" s="55"/>
      <c r="D26" s="55">
        <f>13</f>
        <v>13</v>
      </c>
      <c r="E26" s="49">
        <v>13</v>
      </c>
      <c r="F26" s="51">
        <f>78500*150</f>
        <v>11775000</v>
      </c>
      <c r="G26" s="427"/>
    </row>
    <row r="27" spans="1:31" s="12" customFormat="1" ht="18" customHeight="1" x14ac:dyDescent="0.2">
      <c r="A27" s="17"/>
      <c r="B27" s="52" t="s">
        <v>11</v>
      </c>
      <c r="C27" s="52"/>
      <c r="D27" s="52">
        <f>D26+D25</f>
        <v>1760</v>
      </c>
      <c r="E27" s="53">
        <f>SUM(E25+E26)</f>
        <v>2613</v>
      </c>
      <c r="F27" s="59"/>
      <c r="G27" s="59"/>
    </row>
    <row r="28" spans="1:31" ht="18.75" customHeight="1" x14ac:dyDescent="0.2">
      <c r="B28" s="9"/>
      <c r="C28" s="9"/>
      <c r="D28" s="9"/>
      <c r="E28" s="9"/>
      <c r="F28" s="9"/>
      <c r="G28" s="10"/>
    </row>
    <row r="29" spans="1:31" ht="103.5" customHeight="1" x14ac:dyDescent="0.2">
      <c r="A29" s="23"/>
      <c r="B29" s="24" t="s">
        <v>2</v>
      </c>
      <c r="C29" s="25" t="s">
        <v>3</v>
      </c>
      <c r="D29" s="25" t="s">
        <v>4</v>
      </c>
      <c r="E29" s="25" t="s">
        <v>5</v>
      </c>
      <c r="F29" s="25" t="s">
        <v>6</v>
      </c>
      <c r="G29" s="25" t="s">
        <v>19</v>
      </c>
      <c r="H29" s="25" t="s">
        <v>7</v>
      </c>
      <c r="I29" s="26" t="s">
        <v>39</v>
      </c>
      <c r="J29" s="26" t="s">
        <v>40</v>
      </c>
      <c r="K29" s="25" t="s">
        <v>8</v>
      </c>
      <c r="L29" s="25" t="s">
        <v>14</v>
      </c>
      <c r="M29" s="25" t="s">
        <v>9</v>
      </c>
    </row>
    <row r="30" spans="1:31" s="13" customFormat="1" ht="23.25" customHeight="1" x14ac:dyDescent="0.2">
      <c r="A30" s="27"/>
      <c r="B30" s="28">
        <v>2019</v>
      </c>
      <c r="C30" s="29"/>
      <c r="D30" s="29"/>
      <c r="E30" s="30"/>
      <c r="F30" s="29"/>
      <c r="G30" s="31"/>
      <c r="H30" s="32"/>
      <c r="I30" s="33"/>
      <c r="J30" s="33"/>
      <c r="K30" s="34"/>
      <c r="L30" s="34"/>
      <c r="M30" s="35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</row>
    <row r="31" spans="1:31" s="22" customFormat="1" ht="42.6" customHeight="1" x14ac:dyDescent="0.2">
      <c r="A31" s="134">
        <v>1676</v>
      </c>
      <c r="B31" s="160" t="s">
        <v>36</v>
      </c>
      <c r="C31" s="160">
        <v>2014</v>
      </c>
      <c r="D31" s="161" t="s">
        <v>25</v>
      </c>
      <c r="E31" s="160">
        <v>2019</v>
      </c>
      <c r="F31" s="160" t="s">
        <v>37</v>
      </c>
      <c r="G31" s="91" t="s">
        <v>38</v>
      </c>
      <c r="H31" s="162" t="s">
        <v>53</v>
      </c>
      <c r="I31" s="136">
        <v>1</v>
      </c>
      <c r="J31" s="136">
        <v>2464</v>
      </c>
      <c r="K31" s="106">
        <v>375.01</v>
      </c>
      <c r="L31" s="107">
        <f>1334*K31</f>
        <v>500263.33999999997</v>
      </c>
      <c r="M31" s="79" t="s">
        <v>41</v>
      </c>
      <c r="N31" s="72"/>
    </row>
    <row r="32" spans="1:31" s="22" customFormat="1" ht="43.9" customHeight="1" x14ac:dyDescent="0.2">
      <c r="A32" s="134"/>
      <c r="B32" s="425" t="s">
        <v>43</v>
      </c>
      <c r="C32" s="125">
        <v>2001</v>
      </c>
      <c r="D32" s="111" t="s">
        <v>42</v>
      </c>
      <c r="E32" s="125" t="s">
        <v>45</v>
      </c>
      <c r="F32" s="152" t="s">
        <v>26</v>
      </c>
      <c r="G32" s="91" t="s">
        <v>24</v>
      </c>
      <c r="H32" s="135" t="s">
        <v>169</v>
      </c>
      <c r="I32" s="136">
        <v>2</v>
      </c>
      <c r="J32" s="136">
        <v>2465</v>
      </c>
      <c r="K32" s="94">
        <v>358.72</v>
      </c>
      <c r="L32" s="95">
        <f>7000*K32</f>
        <v>2511040</v>
      </c>
      <c r="M32" s="79" t="s">
        <v>44</v>
      </c>
      <c r="N32" s="72"/>
    </row>
    <row r="33" spans="1:14" s="22" customFormat="1" ht="67.900000000000006" customHeight="1" x14ac:dyDescent="0.2">
      <c r="A33" s="100"/>
      <c r="B33" s="101" t="s">
        <v>27</v>
      </c>
      <c r="C33" s="101">
        <v>2014</v>
      </c>
      <c r="D33" s="102" t="s">
        <v>28</v>
      </c>
      <c r="E33" s="101" t="s">
        <v>46</v>
      </c>
      <c r="F33" s="101" t="s">
        <v>23</v>
      </c>
      <c r="G33" s="103" t="s">
        <v>47</v>
      </c>
      <c r="H33" s="104" t="s">
        <v>68</v>
      </c>
      <c r="I33" s="105">
        <v>3</v>
      </c>
      <c r="J33" s="105">
        <v>2466</v>
      </c>
      <c r="K33" s="106">
        <v>5.7141000000000002</v>
      </c>
      <c r="L33" s="107">
        <f>62307*K33</f>
        <v>356028.42869999999</v>
      </c>
      <c r="M33" s="79" t="s">
        <v>48</v>
      </c>
      <c r="N33" s="72"/>
    </row>
    <row r="34" spans="1:14" s="22" customFormat="1" ht="58.15" customHeight="1" x14ac:dyDescent="0.2">
      <c r="A34" s="88"/>
      <c r="B34" s="426" t="s">
        <v>29</v>
      </c>
      <c r="C34" s="89">
        <v>2006</v>
      </c>
      <c r="D34" s="304" t="s">
        <v>30</v>
      </c>
      <c r="E34" s="89" t="s">
        <v>52</v>
      </c>
      <c r="F34" s="89" t="s">
        <v>49</v>
      </c>
      <c r="G34" s="91" t="s">
        <v>50</v>
      </c>
      <c r="H34" s="92" t="s">
        <v>13</v>
      </c>
      <c r="I34" s="93">
        <v>4</v>
      </c>
      <c r="J34" s="93">
        <v>2467</v>
      </c>
      <c r="K34" s="94">
        <v>5.7141000000000002</v>
      </c>
      <c r="L34" s="95">
        <f>27940*K34</f>
        <v>159651.954</v>
      </c>
      <c r="M34" s="79" t="s">
        <v>48</v>
      </c>
    </row>
    <row r="35" spans="1:14" s="22" customFormat="1" ht="26.25" customHeight="1" x14ac:dyDescent="0.2">
      <c r="A35" s="459"/>
      <c r="B35" s="433" t="s">
        <v>31</v>
      </c>
      <c r="C35" s="433">
        <v>2016</v>
      </c>
      <c r="D35" s="469" t="s">
        <v>32</v>
      </c>
      <c r="E35" s="433" t="s">
        <v>45</v>
      </c>
      <c r="F35" s="437" t="s">
        <v>22</v>
      </c>
      <c r="G35" s="91" t="s">
        <v>51</v>
      </c>
      <c r="H35" s="466" t="s">
        <v>623</v>
      </c>
      <c r="I35" s="467">
        <v>5</v>
      </c>
      <c r="J35" s="467">
        <v>2468</v>
      </c>
      <c r="K35" s="106">
        <v>358.72</v>
      </c>
      <c r="L35" s="107">
        <f>920*K35</f>
        <v>330022.40000000002</v>
      </c>
      <c r="M35" s="79" t="s">
        <v>48</v>
      </c>
      <c r="N35" s="21"/>
    </row>
    <row r="36" spans="1:14" s="22" customFormat="1" ht="103.15" customHeight="1" x14ac:dyDescent="0.2">
      <c r="A36" s="432"/>
      <c r="B36" s="438"/>
      <c r="C36" s="438"/>
      <c r="D36" s="438"/>
      <c r="E36" s="438"/>
      <c r="F36" s="438"/>
      <c r="G36" s="91" t="s">
        <v>86</v>
      </c>
      <c r="H36" s="440"/>
      <c r="I36" s="456"/>
      <c r="J36" s="456"/>
      <c r="K36" s="106">
        <v>358.72</v>
      </c>
      <c r="L36" s="107">
        <f>1780*K36</f>
        <v>638521.60000000009</v>
      </c>
      <c r="M36" s="79" t="s">
        <v>81</v>
      </c>
      <c r="N36" s="21"/>
    </row>
    <row r="37" spans="1:14" s="22" customFormat="1" ht="60.6" customHeight="1" x14ac:dyDescent="0.2">
      <c r="A37" s="459"/>
      <c r="B37" s="433" t="s">
        <v>58</v>
      </c>
      <c r="C37" s="433">
        <v>2005</v>
      </c>
      <c r="D37" s="469" t="s">
        <v>59</v>
      </c>
      <c r="E37" s="433" t="s">
        <v>45</v>
      </c>
      <c r="F37" s="437" t="s">
        <v>22</v>
      </c>
      <c r="G37" s="91" t="s">
        <v>60</v>
      </c>
      <c r="H37" s="466" t="s">
        <v>292</v>
      </c>
      <c r="I37" s="467">
        <v>6</v>
      </c>
      <c r="J37" s="467">
        <v>2469</v>
      </c>
      <c r="K37" s="106">
        <v>358.72</v>
      </c>
      <c r="L37" s="107">
        <f>9000*K37</f>
        <v>3228480.0000000005</v>
      </c>
      <c r="M37" s="79" t="s">
        <v>61</v>
      </c>
      <c r="N37" s="21"/>
    </row>
    <row r="38" spans="1:14" s="22" customFormat="1" ht="88.9" customHeight="1" x14ac:dyDescent="0.2">
      <c r="A38" s="460"/>
      <c r="B38" s="434"/>
      <c r="C38" s="434"/>
      <c r="D38" s="472"/>
      <c r="E38" s="434"/>
      <c r="F38" s="438"/>
      <c r="G38" s="91" t="s">
        <v>85</v>
      </c>
      <c r="H38" s="468"/>
      <c r="I38" s="470"/>
      <c r="J38" s="470"/>
      <c r="K38" s="106">
        <v>358.72</v>
      </c>
      <c r="L38" s="107">
        <f>8000*K38</f>
        <v>2869760</v>
      </c>
      <c r="M38" s="79" t="s">
        <v>81</v>
      </c>
      <c r="N38" s="21"/>
    </row>
    <row r="39" spans="1:14" s="22" customFormat="1" ht="18.75" customHeight="1" x14ac:dyDescent="0.2">
      <c r="A39" s="459">
        <v>1677</v>
      </c>
      <c r="B39" s="433" t="s">
        <v>54</v>
      </c>
      <c r="C39" s="433">
        <v>2009</v>
      </c>
      <c r="D39" s="469" t="s">
        <v>389</v>
      </c>
      <c r="E39" s="433">
        <v>2019</v>
      </c>
      <c r="F39" s="437" t="s">
        <v>55</v>
      </c>
      <c r="G39" s="91" t="s">
        <v>56</v>
      </c>
      <c r="H39" s="466" t="s">
        <v>67</v>
      </c>
      <c r="I39" s="467">
        <v>7</v>
      </c>
      <c r="J39" s="467">
        <v>2470</v>
      </c>
      <c r="K39" s="106"/>
      <c r="L39" s="107">
        <v>500000</v>
      </c>
      <c r="M39" s="79" t="s">
        <v>57</v>
      </c>
      <c r="N39" s="21"/>
    </row>
    <row r="40" spans="1:14" s="22" customFormat="1" ht="31.9" customHeight="1" x14ac:dyDescent="0.2">
      <c r="A40" s="460"/>
      <c r="B40" s="434"/>
      <c r="C40" s="434"/>
      <c r="D40" s="472"/>
      <c r="E40" s="434"/>
      <c r="F40" s="438"/>
      <c r="G40" s="91" t="s">
        <v>619</v>
      </c>
      <c r="H40" s="440"/>
      <c r="I40" s="470"/>
      <c r="J40" s="470"/>
      <c r="K40" s="106"/>
      <c r="L40" s="107">
        <v>609616</v>
      </c>
      <c r="M40" s="79" t="s">
        <v>203</v>
      </c>
      <c r="N40" s="21"/>
    </row>
    <row r="41" spans="1:14" s="22" customFormat="1" ht="69" customHeight="1" x14ac:dyDescent="0.2">
      <c r="A41" s="109">
        <v>1678</v>
      </c>
      <c r="B41" s="110" t="s">
        <v>62</v>
      </c>
      <c r="C41" s="110">
        <v>2018</v>
      </c>
      <c r="D41" s="102" t="s">
        <v>63</v>
      </c>
      <c r="E41" s="110">
        <v>2019</v>
      </c>
      <c r="F41" s="101" t="s">
        <v>64</v>
      </c>
      <c r="G41" s="103" t="s">
        <v>65</v>
      </c>
      <c r="H41" s="267" t="s">
        <v>69</v>
      </c>
      <c r="I41" s="112">
        <v>8</v>
      </c>
      <c r="J41" s="112">
        <v>2471</v>
      </c>
      <c r="K41" s="106">
        <v>5.7510000000000003</v>
      </c>
      <c r="L41" s="107">
        <f>263120*K41</f>
        <v>1513203.12</v>
      </c>
      <c r="M41" s="79" t="s">
        <v>66</v>
      </c>
      <c r="N41" s="21"/>
    </row>
    <row r="42" spans="1:14" s="22" customFormat="1" ht="46.9" customHeight="1" x14ac:dyDescent="0.2">
      <c r="A42" s="261">
        <v>1679</v>
      </c>
      <c r="B42" s="424" t="s">
        <v>72</v>
      </c>
      <c r="C42" s="262">
        <v>2006</v>
      </c>
      <c r="D42" s="269" t="s">
        <v>25</v>
      </c>
      <c r="E42" s="262">
        <v>2019</v>
      </c>
      <c r="F42" s="264" t="s">
        <v>73</v>
      </c>
      <c r="G42" s="91" t="s">
        <v>74</v>
      </c>
      <c r="H42" s="267" t="s">
        <v>75</v>
      </c>
      <c r="I42" s="268">
        <v>9</v>
      </c>
      <c r="J42" s="268">
        <v>2472</v>
      </c>
      <c r="K42" s="94"/>
      <c r="L42" s="95">
        <v>151500</v>
      </c>
      <c r="M42" s="79" t="s">
        <v>76</v>
      </c>
      <c r="N42" s="21"/>
    </row>
    <row r="43" spans="1:14" s="22" customFormat="1" ht="45.6" customHeight="1" x14ac:dyDescent="0.2">
      <c r="A43" s="113"/>
      <c r="B43" s="428" t="s">
        <v>77</v>
      </c>
      <c r="C43" s="114">
        <v>2012</v>
      </c>
      <c r="D43" s="115" t="s">
        <v>25</v>
      </c>
      <c r="E43" s="114" t="s">
        <v>78</v>
      </c>
      <c r="F43" s="117" t="s">
        <v>79</v>
      </c>
      <c r="G43" s="67" t="s">
        <v>80</v>
      </c>
      <c r="H43" s="84" t="s">
        <v>75</v>
      </c>
      <c r="I43" s="116">
        <v>10</v>
      </c>
      <c r="J43" s="116">
        <v>2473</v>
      </c>
      <c r="K43" s="65"/>
      <c r="L43" s="66">
        <v>138300</v>
      </c>
      <c r="M43" s="64" t="s">
        <v>81</v>
      </c>
      <c r="N43" s="21"/>
    </row>
    <row r="44" spans="1:14" s="22" customFormat="1" ht="28.5" customHeight="1" x14ac:dyDescent="0.2">
      <c r="A44" s="459">
        <v>1680</v>
      </c>
      <c r="B44" s="433" t="s">
        <v>82</v>
      </c>
      <c r="C44" s="433">
        <v>2001</v>
      </c>
      <c r="D44" s="469" t="s">
        <v>83</v>
      </c>
      <c r="E44" s="433">
        <v>2019</v>
      </c>
      <c r="F44" s="437" t="s">
        <v>620</v>
      </c>
      <c r="G44" s="91" t="s">
        <v>84</v>
      </c>
      <c r="H44" s="240" t="s">
        <v>92</v>
      </c>
      <c r="I44" s="467">
        <v>11</v>
      </c>
      <c r="J44" s="467">
        <v>2474</v>
      </c>
      <c r="K44" s="94">
        <v>5.7393000000000001</v>
      </c>
      <c r="L44" s="95">
        <f>328585*K44</f>
        <v>1885847.8905</v>
      </c>
      <c r="M44" s="79" t="s">
        <v>81</v>
      </c>
      <c r="N44" s="21"/>
    </row>
    <row r="45" spans="1:14" s="22" customFormat="1" ht="42" customHeight="1" x14ac:dyDescent="0.2">
      <c r="A45" s="432"/>
      <c r="B45" s="438"/>
      <c r="C45" s="438"/>
      <c r="D45" s="472"/>
      <c r="E45" s="438"/>
      <c r="F45" s="438"/>
      <c r="G45" s="91" t="s">
        <v>351</v>
      </c>
      <c r="H45" s="240" t="s">
        <v>13</v>
      </c>
      <c r="I45" s="456"/>
      <c r="J45" s="456"/>
      <c r="K45" s="94">
        <v>5.74</v>
      </c>
      <c r="L45" s="95">
        <f>291785*K45</f>
        <v>1674845.9000000001</v>
      </c>
      <c r="M45" s="79" t="s">
        <v>155</v>
      </c>
      <c r="N45" s="21"/>
    </row>
    <row r="46" spans="1:14" s="22" customFormat="1" ht="154.15" customHeight="1" x14ac:dyDescent="0.2">
      <c r="A46" s="113"/>
      <c r="B46" s="428" t="s">
        <v>87</v>
      </c>
      <c r="C46" s="114">
        <v>2016</v>
      </c>
      <c r="D46" s="80" t="s">
        <v>88</v>
      </c>
      <c r="E46" s="114" t="s">
        <v>89</v>
      </c>
      <c r="F46" s="123" t="s">
        <v>22</v>
      </c>
      <c r="G46" s="67" t="s">
        <v>595</v>
      </c>
      <c r="H46" s="84" t="s">
        <v>13</v>
      </c>
      <c r="I46" s="116"/>
      <c r="J46" s="116"/>
      <c r="K46" s="65">
        <v>358.72</v>
      </c>
      <c r="L46" s="66">
        <f>550*K46</f>
        <v>197296.00000000003</v>
      </c>
      <c r="M46" s="64" t="s">
        <v>91</v>
      </c>
      <c r="N46" s="108"/>
    </row>
    <row r="47" spans="1:14" s="22" customFormat="1" ht="73.900000000000006" customHeight="1" x14ac:dyDescent="0.2">
      <c r="A47" s="118"/>
      <c r="B47" s="428" t="s">
        <v>108</v>
      </c>
      <c r="C47" s="119">
        <v>2007</v>
      </c>
      <c r="D47" s="120" t="s">
        <v>25</v>
      </c>
      <c r="E47" s="119" t="s">
        <v>109</v>
      </c>
      <c r="F47" s="351" t="s">
        <v>114</v>
      </c>
      <c r="G47" s="67" t="s">
        <v>110</v>
      </c>
      <c r="H47" s="121" t="s">
        <v>75</v>
      </c>
      <c r="I47" s="122">
        <v>12</v>
      </c>
      <c r="J47" s="122">
        <v>2475</v>
      </c>
      <c r="K47" s="65"/>
      <c r="L47" s="66">
        <v>177600</v>
      </c>
      <c r="M47" s="64" t="s">
        <v>93</v>
      </c>
      <c r="N47" s="21"/>
    </row>
    <row r="48" spans="1:14" s="22" customFormat="1" ht="71.45" customHeight="1" x14ac:dyDescent="0.2">
      <c r="A48" s="193"/>
      <c r="B48" s="424" t="s">
        <v>94</v>
      </c>
      <c r="C48" s="194">
        <v>2010</v>
      </c>
      <c r="D48" s="102" t="s">
        <v>95</v>
      </c>
      <c r="E48" s="194" t="s">
        <v>109</v>
      </c>
      <c r="F48" s="195" t="s">
        <v>96</v>
      </c>
      <c r="G48" s="91" t="s">
        <v>97</v>
      </c>
      <c r="H48" s="330" t="s">
        <v>501</v>
      </c>
      <c r="I48" s="197">
        <v>13</v>
      </c>
      <c r="J48" s="197">
        <v>2476</v>
      </c>
      <c r="K48" s="94">
        <v>5.74</v>
      </c>
      <c r="L48" s="95">
        <f>55000*K48</f>
        <v>315700</v>
      </c>
      <c r="M48" s="99" t="s">
        <v>98</v>
      </c>
      <c r="N48" s="21"/>
    </row>
    <row r="49" spans="1:14" s="22" customFormat="1" ht="34.5" customHeight="1" x14ac:dyDescent="0.2">
      <c r="A49" s="459">
        <v>1681</v>
      </c>
      <c r="B49" s="433" t="s">
        <v>117</v>
      </c>
      <c r="C49" s="433">
        <v>2017</v>
      </c>
      <c r="D49" s="469" t="s">
        <v>118</v>
      </c>
      <c r="E49" s="433">
        <v>2019</v>
      </c>
      <c r="F49" s="437" t="s">
        <v>119</v>
      </c>
      <c r="G49" s="91" t="s">
        <v>267</v>
      </c>
      <c r="H49" s="466" t="s">
        <v>92</v>
      </c>
      <c r="I49" s="467">
        <v>14</v>
      </c>
      <c r="J49" s="467">
        <v>2477</v>
      </c>
      <c r="K49" s="94">
        <v>5.7937000000000003</v>
      </c>
      <c r="L49" s="95">
        <f>314310*K49</f>
        <v>1821017.8470000001</v>
      </c>
      <c r="M49" s="99" t="s">
        <v>98</v>
      </c>
      <c r="N49" s="21"/>
    </row>
    <row r="50" spans="1:14" s="22" customFormat="1" ht="51" customHeight="1" x14ac:dyDescent="0.2">
      <c r="A50" s="460"/>
      <c r="B50" s="434"/>
      <c r="C50" s="434"/>
      <c r="D50" s="438"/>
      <c r="E50" s="434"/>
      <c r="F50" s="438"/>
      <c r="G50" s="91" t="s">
        <v>120</v>
      </c>
      <c r="H50" s="468"/>
      <c r="I50" s="470"/>
      <c r="J50" s="470"/>
      <c r="K50" s="94">
        <v>5.7980999999999998</v>
      </c>
      <c r="L50" s="95">
        <f>13610*K50</f>
        <v>78912.141000000003</v>
      </c>
      <c r="M50" s="99" t="s">
        <v>98</v>
      </c>
      <c r="N50" s="21"/>
    </row>
    <row r="51" spans="1:14" s="22" customFormat="1" ht="70.900000000000006" customHeight="1" x14ac:dyDescent="0.2">
      <c r="A51" s="96">
        <v>1682</v>
      </c>
      <c r="B51" s="424" t="s">
        <v>111</v>
      </c>
      <c r="C51" s="83">
        <v>2015</v>
      </c>
      <c r="D51" s="90" t="s">
        <v>25</v>
      </c>
      <c r="E51" s="83">
        <v>2019</v>
      </c>
      <c r="F51" s="192" t="s">
        <v>114</v>
      </c>
      <c r="G51" s="91" t="s">
        <v>112</v>
      </c>
      <c r="H51" s="131" t="s">
        <v>75</v>
      </c>
      <c r="I51" s="98">
        <v>15</v>
      </c>
      <c r="J51" s="98">
        <v>2478</v>
      </c>
      <c r="K51" s="94"/>
      <c r="L51" s="95">
        <v>327700</v>
      </c>
      <c r="M51" s="99" t="s">
        <v>113</v>
      </c>
      <c r="N51" s="21"/>
    </row>
    <row r="52" spans="1:14" s="22" customFormat="1" ht="33" customHeight="1" x14ac:dyDescent="0.2">
      <c r="A52" s="206"/>
      <c r="B52" s="424" t="s">
        <v>99</v>
      </c>
      <c r="C52" s="207">
        <v>2012</v>
      </c>
      <c r="D52" s="211" t="s">
        <v>25</v>
      </c>
      <c r="E52" s="207" t="s">
        <v>78</v>
      </c>
      <c r="F52" s="208" t="s">
        <v>100</v>
      </c>
      <c r="G52" s="91" t="s">
        <v>101</v>
      </c>
      <c r="H52" s="209" t="s">
        <v>75</v>
      </c>
      <c r="I52" s="210">
        <v>16</v>
      </c>
      <c r="J52" s="210">
        <v>2479</v>
      </c>
      <c r="K52" s="94">
        <v>431.62</v>
      </c>
      <c r="L52" s="95">
        <f>441*K52</f>
        <v>190344.42</v>
      </c>
      <c r="M52" s="99" t="s">
        <v>102</v>
      </c>
      <c r="N52" s="21"/>
    </row>
    <row r="53" spans="1:14" s="22" customFormat="1" ht="47.45" customHeight="1" x14ac:dyDescent="0.2">
      <c r="A53" s="297">
        <v>1683</v>
      </c>
      <c r="B53" s="424" t="s">
        <v>103</v>
      </c>
      <c r="C53" s="293">
        <v>2003</v>
      </c>
      <c r="D53" s="102" t="s">
        <v>104</v>
      </c>
      <c r="E53" s="293">
        <v>2019</v>
      </c>
      <c r="F53" s="294" t="s">
        <v>70</v>
      </c>
      <c r="G53" s="91" t="s">
        <v>105</v>
      </c>
      <c r="H53" s="295" t="s">
        <v>115</v>
      </c>
      <c r="I53" s="299">
        <v>17</v>
      </c>
      <c r="J53" s="299">
        <v>2480</v>
      </c>
      <c r="K53" s="94">
        <v>5.76</v>
      </c>
      <c r="L53" s="95">
        <f>39990*K53</f>
        <v>230342.39999999999</v>
      </c>
      <c r="M53" s="99" t="s">
        <v>102</v>
      </c>
      <c r="N53" s="21"/>
    </row>
    <row r="54" spans="1:14" s="22" customFormat="1" ht="87" customHeight="1" x14ac:dyDescent="0.2">
      <c r="A54" s="297">
        <v>1684</v>
      </c>
      <c r="B54" s="424" t="s">
        <v>106</v>
      </c>
      <c r="C54" s="293">
        <v>2009</v>
      </c>
      <c r="D54" s="102" t="s">
        <v>107</v>
      </c>
      <c r="E54" s="293">
        <v>2019</v>
      </c>
      <c r="F54" s="294" t="s">
        <v>70</v>
      </c>
      <c r="G54" s="91" t="s">
        <v>71</v>
      </c>
      <c r="H54" s="295" t="s">
        <v>116</v>
      </c>
      <c r="I54" s="299">
        <v>18</v>
      </c>
      <c r="J54" s="299">
        <v>2481</v>
      </c>
      <c r="K54" s="94">
        <v>5.76</v>
      </c>
      <c r="L54" s="95">
        <f>44990*K54</f>
        <v>259142.39999999999</v>
      </c>
      <c r="M54" s="99" t="s">
        <v>102</v>
      </c>
      <c r="N54" s="21"/>
    </row>
    <row r="55" spans="1:14" s="22" customFormat="1" ht="18" customHeight="1" x14ac:dyDescent="0.2">
      <c r="A55" s="459">
        <v>1685</v>
      </c>
      <c r="B55" s="433" t="s">
        <v>121</v>
      </c>
      <c r="C55" s="433">
        <v>2017</v>
      </c>
      <c r="D55" s="469" t="s">
        <v>122</v>
      </c>
      <c r="E55" s="433">
        <v>2019</v>
      </c>
      <c r="F55" s="437" t="s">
        <v>22</v>
      </c>
      <c r="G55" s="91" t="s">
        <v>60</v>
      </c>
      <c r="H55" s="439" t="s">
        <v>13</v>
      </c>
      <c r="I55" s="467">
        <v>19</v>
      </c>
      <c r="J55" s="467">
        <v>2482</v>
      </c>
      <c r="K55" s="94">
        <v>358.72</v>
      </c>
      <c r="L55" s="95">
        <f t="shared" ref="L55:L60" si="0">9000*K55</f>
        <v>3228480.0000000005</v>
      </c>
      <c r="M55" s="99" t="s">
        <v>123</v>
      </c>
      <c r="N55" s="21"/>
    </row>
    <row r="56" spans="1:14" s="22" customFormat="1" ht="18" customHeight="1" x14ac:dyDescent="0.2">
      <c r="A56" s="486"/>
      <c r="B56" s="478"/>
      <c r="C56" s="478"/>
      <c r="D56" s="478"/>
      <c r="E56" s="478"/>
      <c r="F56" s="478"/>
      <c r="G56" s="91" t="s">
        <v>60</v>
      </c>
      <c r="H56" s="482"/>
      <c r="I56" s="483"/>
      <c r="J56" s="483"/>
      <c r="K56" s="94">
        <v>358.72</v>
      </c>
      <c r="L56" s="95">
        <f t="shared" si="0"/>
        <v>3228480.0000000005</v>
      </c>
      <c r="M56" s="99" t="s">
        <v>204</v>
      </c>
      <c r="N56" s="21"/>
    </row>
    <row r="57" spans="1:14" s="22" customFormat="1" ht="18" customHeight="1" x14ac:dyDescent="0.2">
      <c r="A57" s="487"/>
      <c r="B57" s="478"/>
      <c r="C57" s="478"/>
      <c r="D57" s="478"/>
      <c r="E57" s="478"/>
      <c r="F57" s="478"/>
      <c r="G57" s="91" t="s">
        <v>60</v>
      </c>
      <c r="H57" s="482"/>
      <c r="I57" s="483"/>
      <c r="J57" s="483"/>
      <c r="K57" s="94">
        <v>358.72</v>
      </c>
      <c r="L57" s="95">
        <f t="shared" si="0"/>
        <v>3228480.0000000005</v>
      </c>
      <c r="M57" s="99" t="s">
        <v>227</v>
      </c>
      <c r="N57" s="21"/>
    </row>
    <row r="58" spans="1:14" s="22" customFormat="1" ht="18" customHeight="1" x14ac:dyDescent="0.2">
      <c r="A58" s="487"/>
      <c r="B58" s="478"/>
      <c r="C58" s="478"/>
      <c r="D58" s="478"/>
      <c r="E58" s="478"/>
      <c r="F58" s="478"/>
      <c r="G58" s="91" t="s">
        <v>60</v>
      </c>
      <c r="H58" s="482"/>
      <c r="I58" s="483"/>
      <c r="J58" s="483"/>
      <c r="K58" s="94">
        <v>375.01</v>
      </c>
      <c r="L58" s="95">
        <f t="shared" si="0"/>
        <v>3375090</v>
      </c>
      <c r="M58" s="99" t="s">
        <v>293</v>
      </c>
      <c r="N58" s="21"/>
    </row>
    <row r="59" spans="1:14" s="22" customFormat="1" ht="18" customHeight="1" x14ac:dyDescent="0.2">
      <c r="A59" s="487"/>
      <c r="B59" s="478"/>
      <c r="C59" s="478"/>
      <c r="D59" s="478"/>
      <c r="E59" s="478"/>
      <c r="F59" s="478"/>
      <c r="G59" s="91" t="s">
        <v>60</v>
      </c>
      <c r="H59" s="482"/>
      <c r="I59" s="483"/>
      <c r="J59" s="483"/>
      <c r="K59" s="94">
        <v>375.01</v>
      </c>
      <c r="L59" s="95">
        <f t="shared" si="0"/>
        <v>3375090</v>
      </c>
      <c r="M59" s="99" t="s">
        <v>294</v>
      </c>
      <c r="N59" s="21"/>
    </row>
    <row r="60" spans="1:14" s="22" customFormat="1" ht="18" customHeight="1" x14ac:dyDescent="0.2">
      <c r="A60" s="487"/>
      <c r="B60" s="478"/>
      <c r="C60" s="478"/>
      <c r="D60" s="478"/>
      <c r="E60" s="478"/>
      <c r="F60" s="478"/>
      <c r="G60" s="91" t="s">
        <v>60</v>
      </c>
      <c r="H60" s="482"/>
      <c r="I60" s="483"/>
      <c r="J60" s="483"/>
      <c r="K60" s="94">
        <v>379.6</v>
      </c>
      <c r="L60" s="95">
        <f t="shared" si="0"/>
        <v>3416400</v>
      </c>
      <c r="M60" s="99" t="s">
        <v>323</v>
      </c>
      <c r="N60" s="21"/>
    </row>
    <row r="61" spans="1:14" s="22" customFormat="1" ht="18" customHeight="1" x14ac:dyDescent="0.2">
      <c r="A61" s="432"/>
      <c r="B61" s="438"/>
      <c r="C61" s="438"/>
      <c r="D61" s="438"/>
      <c r="E61" s="438"/>
      <c r="F61" s="438"/>
      <c r="G61" s="91" t="s">
        <v>217</v>
      </c>
      <c r="H61" s="440"/>
      <c r="I61" s="456"/>
      <c r="J61" s="456"/>
      <c r="K61" s="94">
        <v>379.6</v>
      </c>
      <c r="L61" s="95">
        <f>6000*K61</f>
        <v>2277600</v>
      </c>
      <c r="M61" s="99" t="s">
        <v>327</v>
      </c>
      <c r="N61" s="21"/>
    </row>
    <row r="62" spans="1:14" s="22" customFormat="1" ht="47.45" customHeight="1" x14ac:dyDescent="0.2">
      <c r="A62" s="126"/>
      <c r="B62" s="424" t="s">
        <v>124</v>
      </c>
      <c r="C62" s="127">
        <v>2011</v>
      </c>
      <c r="D62" s="128" t="s">
        <v>125</v>
      </c>
      <c r="E62" s="127" t="s">
        <v>89</v>
      </c>
      <c r="F62" s="129" t="s">
        <v>126</v>
      </c>
      <c r="G62" s="91" t="s">
        <v>127</v>
      </c>
      <c r="H62" s="213" t="s">
        <v>170</v>
      </c>
      <c r="I62" s="130"/>
      <c r="J62" s="130"/>
      <c r="K62" s="94">
        <v>358.72</v>
      </c>
      <c r="L62" s="95">
        <f>3000*K62</f>
        <v>1076160</v>
      </c>
      <c r="M62" s="99" t="s">
        <v>128</v>
      </c>
      <c r="N62" s="21"/>
    </row>
    <row r="63" spans="1:14" s="22" customFormat="1" ht="19.5" customHeight="1" x14ac:dyDescent="0.2">
      <c r="A63" s="484"/>
      <c r="B63" s="444" t="s">
        <v>129</v>
      </c>
      <c r="C63" s="444">
        <v>2009</v>
      </c>
      <c r="D63" s="473" t="s">
        <v>130</v>
      </c>
      <c r="E63" s="444" t="s">
        <v>46</v>
      </c>
      <c r="F63" s="450" t="s">
        <v>126</v>
      </c>
      <c r="G63" s="67" t="s">
        <v>60</v>
      </c>
      <c r="H63" s="452" t="s">
        <v>13</v>
      </c>
      <c r="I63" s="474">
        <v>20</v>
      </c>
      <c r="J63" s="474">
        <v>2483</v>
      </c>
      <c r="K63" s="65">
        <v>358.72</v>
      </c>
      <c r="L63" s="66">
        <f>9000*K63</f>
        <v>3228480.0000000005</v>
      </c>
      <c r="M63" s="124" t="s">
        <v>128</v>
      </c>
      <c r="N63" s="21"/>
    </row>
    <row r="64" spans="1:14" s="22" customFormat="1" ht="18" customHeight="1" x14ac:dyDescent="0.2">
      <c r="A64" s="485"/>
      <c r="B64" s="476"/>
      <c r="C64" s="476"/>
      <c r="D64" s="446"/>
      <c r="E64" s="476"/>
      <c r="F64" s="477"/>
      <c r="G64" s="67" t="s">
        <v>150</v>
      </c>
      <c r="H64" s="481"/>
      <c r="I64" s="475"/>
      <c r="J64" s="475"/>
      <c r="K64" s="65">
        <v>358.72</v>
      </c>
      <c r="L64" s="66">
        <f>3800*K64</f>
        <v>1363136</v>
      </c>
      <c r="M64" s="124" t="s">
        <v>141</v>
      </c>
      <c r="N64" s="21"/>
    </row>
    <row r="65" spans="1:14" s="22" customFormat="1" ht="43.15" customHeight="1" x14ac:dyDescent="0.2">
      <c r="A65" s="142"/>
      <c r="B65" s="424" t="s">
        <v>132</v>
      </c>
      <c r="C65" s="143">
        <v>2012</v>
      </c>
      <c r="D65" s="151" t="s">
        <v>63</v>
      </c>
      <c r="E65" s="143" t="s">
        <v>133</v>
      </c>
      <c r="F65" s="144" t="s">
        <v>23</v>
      </c>
      <c r="G65" s="91" t="s">
        <v>134</v>
      </c>
      <c r="H65" s="145" t="s">
        <v>13</v>
      </c>
      <c r="I65" s="146">
        <v>21</v>
      </c>
      <c r="J65" s="146">
        <v>2484</v>
      </c>
      <c r="K65" s="94">
        <v>5.74</v>
      </c>
      <c r="L65" s="95">
        <f>119056.83*K65</f>
        <v>683386.20420000004</v>
      </c>
      <c r="M65" s="99" t="s">
        <v>128</v>
      </c>
      <c r="N65" s="21"/>
    </row>
    <row r="66" spans="1:14" s="22" customFormat="1" ht="17.25" customHeight="1" x14ac:dyDescent="0.2">
      <c r="A66" s="459"/>
      <c r="B66" s="433" t="s">
        <v>135</v>
      </c>
      <c r="C66" s="433">
        <v>2010</v>
      </c>
      <c r="D66" s="469" t="s">
        <v>136</v>
      </c>
      <c r="E66" s="433" t="s">
        <v>45</v>
      </c>
      <c r="F66" s="437" t="s">
        <v>137</v>
      </c>
      <c r="G66" s="91" t="s">
        <v>60</v>
      </c>
      <c r="H66" s="439" t="s">
        <v>156</v>
      </c>
      <c r="I66" s="467">
        <v>22</v>
      </c>
      <c r="J66" s="467">
        <v>2485</v>
      </c>
      <c r="K66" s="94">
        <v>358.72</v>
      </c>
      <c r="L66" s="95">
        <f>9000*K66</f>
        <v>3228480.0000000005</v>
      </c>
      <c r="M66" s="99" t="s">
        <v>128</v>
      </c>
      <c r="N66" s="21"/>
    </row>
    <row r="67" spans="1:14" s="22" customFormat="1" ht="45" customHeight="1" x14ac:dyDescent="0.2">
      <c r="A67" s="460"/>
      <c r="B67" s="434"/>
      <c r="C67" s="434"/>
      <c r="D67" s="472"/>
      <c r="E67" s="434"/>
      <c r="F67" s="438"/>
      <c r="G67" s="91" t="s">
        <v>90</v>
      </c>
      <c r="H67" s="440"/>
      <c r="I67" s="470"/>
      <c r="J67" s="470"/>
      <c r="K67" s="94">
        <v>358.72</v>
      </c>
      <c r="L67" s="95">
        <f>5000*K67</f>
        <v>1793600.0000000002</v>
      </c>
      <c r="M67" s="99" t="s">
        <v>141</v>
      </c>
      <c r="N67" s="21"/>
    </row>
    <row r="68" spans="1:14" s="22" customFormat="1" ht="44.45" customHeight="1" x14ac:dyDescent="0.2">
      <c r="A68" s="142"/>
      <c r="B68" s="424" t="s">
        <v>138</v>
      </c>
      <c r="C68" s="143">
        <v>2017</v>
      </c>
      <c r="D68" s="102" t="s">
        <v>139</v>
      </c>
      <c r="E68" s="143" t="s">
        <v>45</v>
      </c>
      <c r="F68" s="144" t="s">
        <v>23</v>
      </c>
      <c r="G68" s="91" t="s">
        <v>140</v>
      </c>
      <c r="H68" s="145" t="s">
        <v>13</v>
      </c>
      <c r="I68" s="146">
        <v>23</v>
      </c>
      <c r="J68" s="146">
        <v>2486</v>
      </c>
      <c r="K68" s="94">
        <v>5.73</v>
      </c>
      <c r="L68" s="95">
        <f>109864.83*K68</f>
        <v>629525.47590000008</v>
      </c>
      <c r="M68" s="99" t="s">
        <v>141</v>
      </c>
      <c r="N68" s="21"/>
    </row>
    <row r="69" spans="1:14" s="22" customFormat="1" ht="71.45" customHeight="1" x14ac:dyDescent="0.2">
      <c r="A69" s="459">
        <v>1686</v>
      </c>
      <c r="B69" s="433" t="s">
        <v>142</v>
      </c>
      <c r="C69" s="433">
        <v>2010</v>
      </c>
      <c r="D69" s="469" t="s">
        <v>143</v>
      </c>
      <c r="E69" s="433">
        <v>2019</v>
      </c>
      <c r="F69" s="437" t="s">
        <v>144</v>
      </c>
      <c r="G69" s="479" t="s">
        <v>157</v>
      </c>
      <c r="H69" s="439" t="s">
        <v>593</v>
      </c>
      <c r="I69" s="467">
        <v>24</v>
      </c>
      <c r="J69" s="467">
        <v>2487</v>
      </c>
      <c r="K69" s="494">
        <v>5.7808000000000002</v>
      </c>
      <c r="L69" s="496">
        <f>643040*K69</f>
        <v>3717285.6320000002</v>
      </c>
      <c r="M69" s="497" t="s">
        <v>158</v>
      </c>
      <c r="N69" s="499"/>
    </row>
    <row r="70" spans="1:14" s="22" customFormat="1" ht="6.6" customHeight="1" x14ac:dyDescent="0.2">
      <c r="A70" s="432"/>
      <c r="B70" s="438"/>
      <c r="C70" s="438"/>
      <c r="D70" s="472"/>
      <c r="E70" s="438"/>
      <c r="F70" s="438"/>
      <c r="G70" s="480"/>
      <c r="H70" s="440"/>
      <c r="I70" s="456"/>
      <c r="J70" s="456"/>
      <c r="K70" s="495"/>
      <c r="L70" s="495"/>
      <c r="M70" s="498"/>
      <c r="N70" s="500"/>
    </row>
    <row r="71" spans="1:14" s="22" customFormat="1" ht="100.9" customHeight="1" x14ac:dyDescent="0.2">
      <c r="A71" s="126"/>
      <c r="B71" s="424" t="s">
        <v>146</v>
      </c>
      <c r="C71" s="127">
        <v>2017</v>
      </c>
      <c r="D71" s="102" t="s">
        <v>147</v>
      </c>
      <c r="E71" s="127" t="s">
        <v>131</v>
      </c>
      <c r="F71" s="381" t="s">
        <v>148</v>
      </c>
      <c r="G71" s="91" t="s">
        <v>149</v>
      </c>
      <c r="H71" s="132" t="s">
        <v>170</v>
      </c>
      <c r="I71" s="130">
        <v>25</v>
      </c>
      <c r="J71" s="130">
        <v>2488</v>
      </c>
      <c r="K71" s="94">
        <v>5.73</v>
      </c>
      <c r="L71" s="95">
        <f>65300*K71</f>
        <v>374169</v>
      </c>
      <c r="M71" s="99" t="s">
        <v>141</v>
      </c>
      <c r="N71" s="21"/>
    </row>
    <row r="72" spans="1:14" s="22" customFormat="1" ht="32.450000000000003" customHeight="1" x14ac:dyDescent="0.2">
      <c r="A72" s="297">
        <v>1687</v>
      </c>
      <c r="B72" s="424" t="s">
        <v>151</v>
      </c>
      <c r="C72" s="293">
        <v>2008</v>
      </c>
      <c r="D72" s="190" t="s">
        <v>152</v>
      </c>
      <c r="E72" s="293">
        <v>2019</v>
      </c>
      <c r="F72" s="294" t="s">
        <v>70</v>
      </c>
      <c r="G72" s="91" t="s">
        <v>71</v>
      </c>
      <c r="H72" s="295" t="s">
        <v>13</v>
      </c>
      <c r="I72" s="299">
        <v>26</v>
      </c>
      <c r="J72" s="299">
        <v>2489</v>
      </c>
      <c r="K72" s="94">
        <v>5.73</v>
      </c>
      <c r="L72" s="95">
        <f>44990*K72</f>
        <v>257792.7</v>
      </c>
      <c r="M72" s="99" t="s">
        <v>141</v>
      </c>
      <c r="N72" s="21"/>
    </row>
    <row r="73" spans="1:14" s="22" customFormat="1" ht="97.15" customHeight="1" x14ac:dyDescent="0.2">
      <c r="A73" s="155">
        <v>1688</v>
      </c>
      <c r="B73" s="424" t="s">
        <v>153</v>
      </c>
      <c r="C73" s="156">
        <v>2015</v>
      </c>
      <c r="D73" s="159" t="s">
        <v>25</v>
      </c>
      <c r="E73" s="156">
        <v>2019</v>
      </c>
      <c r="F73" s="101" t="s">
        <v>208</v>
      </c>
      <c r="G73" s="91" t="s">
        <v>154</v>
      </c>
      <c r="H73" s="157" t="s">
        <v>114</v>
      </c>
      <c r="I73" s="158">
        <v>27</v>
      </c>
      <c r="J73" s="158">
        <v>2490</v>
      </c>
      <c r="K73" s="94">
        <v>5.74</v>
      </c>
      <c r="L73" s="95">
        <f>26000*K73</f>
        <v>149240</v>
      </c>
      <c r="M73" s="99" t="s">
        <v>155</v>
      </c>
      <c r="N73" s="21"/>
    </row>
    <row r="74" spans="1:14" s="22" customFormat="1" ht="59.45" customHeight="1" x14ac:dyDescent="0.2">
      <c r="A74" s="379">
        <v>1689</v>
      </c>
      <c r="B74" s="424" t="s">
        <v>159</v>
      </c>
      <c r="C74" s="377">
        <v>2017</v>
      </c>
      <c r="D74" s="190" t="s">
        <v>160</v>
      </c>
      <c r="E74" s="377">
        <v>2019</v>
      </c>
      <c r="F74" s="374" t="s">
        <v>161</v>
      </c>
      <c r="G74" s="91" t="s">
        <v>547</v>
      </c>
      <c r="H74" s="375" t="s">
        <v>478</v>
      </c>
      <c r="I74" s="380">
        <v>28</v>
      </c>
      <c r="J74" s="380">
        <v>2491</v>
      </c>
      <c r="K74" s="94">
        <v>5.7758000000000003</v>
      </c>
      <c r="L74" s="95">
        <f>78500*K74</f>
        <v>453400.30000000005</v>
      </c>
      <c r="M74" s="99" t="s">
        <v>162</v>
      </c>
      <c r="N74" s="21"/>
    </row>
    <row r="75" spans="1:14" s="22" customFormat="1" ht="26.25" customHeight="1" x14ac:dyDescent="0.2">
      <c r="A75" s="297">
        <v>1690</v>
      </c>
      <c r="B75" s="424" t="s">
        <v>163</v>
      </c>
      <c r="C75" s="293">
        <v>2009</v>
      </c>
      <c r="D75" s="190" t="s">
        <v>152</v>
      </c>
      <c r="E75" s="293">
        <v>2019</v>
      </c>
      <c r="F75" s="294" t="s">
        <v>164</v>
      </c>
      <c r="G75" s="91" t="s">
        <v>165</v>
      </c>
      <c r="H75" s="295" t="s">
        <v>13</v>
      </c>
      <c r="I75" s="299">
        <v>29</v>
      </c>
      <c r="J75" s="299">
        <v>2492</v>
      </c>
      <c r="K75" s="94">
        <v>5.7583000000000002</v>
      </c>
      <c r="L75" s="95">
        <f>43000*K75</f>
        <v>247606.9</v>
      </c>
      <c r="M75" s="99" t="s">
        <v>166</v>
      </c>
      <c r="N75" s="21"/>
    </row>
    <row r="76" spans="1:14" s="22" customFormat="1" ht="35.450000000000003" customHeight="1" x14ac:dyDescent="0.2">
      <c r="A76" s="297">
        <v>1691</v>
      </c>
      <c r="B76" s="424" t="s">
        <v>167</v>
      </c>
      <c r="C76" s="293">
        <v>2017</v>
      </c>
      <c r="D76" s="190" t="s">
        <v>152</v>
      </c>
      <c r="E76" s="293">
        <v>2019</v>
      </c>
      <c r="F76" s="294" t="s">
        <v>164</v>
      </c>
      <c r="G76" s="91" t="s">
        <v>168</v>
      </c>
      <c r="H76" s="295" t="s">
        <v>13</v>
      </c>
      <c r="I76" s="299">
        <v>30</v>
      </c>
      <c r="J76" s="299">
        <v>2493</v>
      </c>
      <c r="K76" s="94">
        <v>5.7614000000000001</v>
      </c>
      <c r="L76" s="95">
        <f>5900*K76</f>
        <v>33992.26</v>
      </c>
      <c r="M76" s="99" t="s">
        <v>166</v>
      </c>
      <c r="N76" s="21"/>
    </row>
    <row r="77" spans="1:14" s="22" customFormat="1" ht="86.45" customHeight="1" x14ac:dyDescent="0.2">
      <c r="A77" s="484">
        <v>1692</v>
      </c>
      <c r="B77" s="444" t="s">
        <v>171</v>
      </c>
      <c r="C77" s="444">
        <v>2017</v>
      </c>
      <c r="D77" s="473" t="s">
        <v>172</v>
      </c>
      <c r="E77" s="138">
        <v>2019</v>
      </c>
      <c r="F77" s="82" t="s">
        <v>173</v>
      </c>
      <c r="G77" s="67" t="s">
        <v>174</v>
      </c>
      <c r="H77" s="163" t="s">
        <v>210</v>
      </c>
      <c r="I77" s="474">
        <v>31</v>
      </c>
      <c r="J77" s="474">
        <v>2494</v>
      </c>
      <c r="K77" s="65">
        <v>5.7774000000000001</v>
      </c>
      <c r="L77" s="66">
        <f>60030*K77</f>
        <v>346817.32199999999</v>
      </c>
      <c r="M77" s="124" t="s">
        <v>175</v>
      </c>
      <c r="N77" s="21"/>
    </row>
    <row r="78" spans="1:14" s="22" customFormat="1" ht="70.150000000000006" customHeight="1" x14ac:dyDescent="0.2">
      <c r="A78" s="485"/>
      <c r="B78" s="476"/>
      <c r="C78" s="476"/>
      <c r="D78" s="446"/>
      <c r="E78" s="225" t="s">
        <v>45</v>
      </c>
      <c r="F78" s="227" t="s">
        <v>188</v>
      </c>
      <c r="G78" s="91" t="s">
        <v>339</v>
      </c>
      <c r="H78" s="228" t="s">
        <v>92</v>
      </c>
      <c r="I78" s="475"/>
      <c r="J78" s="475"/>
      <c r="K78" s="94">
        <v>5.7624000000000004</v>
      </c>
      <c r="L78" s="95">
        <f>262191*K78</f>
        <v>1510849.4184000001</v>
      </c>
      <c r="M78" s="99" t="s">
        <v>177</v>
      </c>
      <c r="N78" s="21"/>
    </row>
    <row r="79" spans="1:14" s="22" customFormat="1" ht="74.45" customHeight="1" x14ac:dyDescent="0.2">
      <c r="A79" s="200"/>
      <c r="B79" s="424" t="s">
        <v>178</v>
      </c>
      <c r="C79" s="203">
        <v>2004</v>
      </c>
      <c r="D79" s="202" t="s">
        <v>179</v>
      </c>
      <c r="E79" s="203" t="s">
        <v>180</v>
      </c>
      <c r="F79" s="204" t="s">
        <v>181</v>
      </c>
      <c r="G79" s="91" t="s">
        <v>182</v>
      </c>
      <c r="H79" s="205" t="s">
        <v>13</v>
      </c>
      <c r="I79" s="201"/>
      <c r="J79" s="201"/>
      <c r="K79" s="94">
        <v>5.8266</v>
      </c>
      <c r="L79" s="95">
        <f>18000*K79</f>
        <v>104878.8</v>
      </c>
      <c r="M79" s="99" t="s">
        <v>177</v>
      </c>
      <c r="N79" s="21"/>
    </row>
    <row r="80" spans="1:14" s="22" customFormat="1" ht="73.150000000000006" customHeight="1" x14ac:dyDescent="0.2">
      <c r="A80" s="137"/>
      <c r="B80" s="428" t="s">
        <v>183</v>
      </c>
      <c r="C80" s="138">
        <v>2009</v>
      </c>
      <c r="D80" s="80" t="s">
        <v>184</v>
      </c>
      <c r="E80" s="138" t="s">
        <v>89</v>
      </c>
      <c r="F80" s="139" t="s">
        <v>26</v>
      </c>
      <c r="G80" s="67" t="s">
        <v>185</v>
      </c>
      <c r="H80" s="141" t="s">
        <v>13</v>
      </c>
      <c r="I80" s="140"/>
      <c r="J80" s="140"/>
      <c r="K80" s="65">
        <v>358.72</v>
      </c>
      <c r="L80" s="66">
        <f>918*K80</f>
        <v>329304.96000000002</v>
      </c>
      <c r="M80" s="124" t="s">
        <v>177</v>
      </c>
      <c r="N80" s="21"/>
    </row>
    <row r="81" spans="1:14" s="22" customFormat="1" ht="28.5" customHeight="1" x14ac:dyDescent="0.2">
      <c r="A81" s="459">
        <v>1693</v>
      </c>
      <c r="B81" s="433" t="s">
        <v>189</v>
      </c>
      <c r="C81" s="433">
        <v>2017</v>
      </c>
      <c r="D81" s="469" t="s">
        <v>190</v>
      </c>
      <c r="E81" s="433">
        <v>2019</v>
      </c>
      <c r="F81" s="437" t="s">
        <v>191</v>
      </c>
      <c r="G81" s="91" t="s">
        <v>192</v>
      </c>
      <c r="H81" s="265" t="s">
        <v>92</v>
      </c>
      <c r="I81" s="467">
        <v>32</v>
      </c>
      <c r="J81" s="467">
        <v>2495</v>
      </c>
      <c r="K81" s="94">
        <v>5.7624000000000004</v>
      </c>
      <c r="L81" s="95">
        <f>301690*K81</f>
        <v>1738458.4560000002</v>
      </c>
      <c r="M81" s="99" t="s">
        <v>187</v>
      </c>
      <c r="N81" s="21"/>
    </row>
    <row r="82" spans="1:14" s="22" customFormat="1" ht="20.25" customHeight="1" x14ac:dyDescent="0.2">
      <c r="A82" s="487"/>
      <c r="B82" s="478"/>
      <c r="C82" s="478"/>
      <c r="D82" s="478"/>
      <c r="E82" s="478"/>
      <c r="F82" s="478"/>
      <c r="G82" s="91" t="s">
        <v>213</v>
      </c>
      <c r="H82" s="439" t="s">
        <v>13</v>
      </c>
      <c r="I82" s="483"/>
      <c r="J82" s="483"/>
      <c r="K82" s="94">
        <v>5.8285999999999998</v>
      </c>
      <c r="L82" s="95">
        <f>500000*K82</f>
        <v>2914300</v>
      </c>
      <c r="M82" s="99" t="s">
        <v>214</v>
      </c>
      <c r="N82" s="21"/>
    </row>
    <row r="83" spans="1:14" s="22" customFormat="1" ht="18.75" customHeight="1" x14ac:dyDescent="0.2">
      <c r="A83" s="487"/>
      <c r="B83" s="478"/>
      <c r="C83" s="478"/>
      <c r="D83" s="478"/>
      <c r="E83" s="478"/>
      <c r="F83" s="478"/>
      <c r="G83" s="91" t="s">
        <v>213</v>
      </c>
      <c r="H83" s="482"/>
      <c r="I83" s="483"/>
      <c r="J83" s="483"/>
      <c r="K83" s="94">
        <v>5.8730000000000002</v>
      </c>
      <c r="L83" s="95">
        <f>500000*K83</f>
        <v>2936500</v>
      </c>
      <c r="M83" s="99" t="s">
        <v>227</v>
      </c>
      <c r="N83" s="21"/>
    </row>
    <row r="84" spans="1:14" s="22" customFormat="1" ht="18.75" customHeight="1" x14ac:dyDescent="0.2">
      <c r="A84" s="487"/>
      <c r="B84" s="478"/>
      <c r="C84" s="478"/>
      <c r="D84" s="478"/>
      <c r="E84" s="478"/>
      <c r="F84" s="478"/>
      <c r="G84" s="91" t="s">
        <v>213</v>
      </c>
      <c r="H84" s="482"/>
      <c r="I84" s="483"/>
      <c r="J84" s="483"/>
      <c r="K84" s="94">
        <v>5.9741</v>
      </c>
      <c r="L84" s="95">
        <f>500000*K84</f>
        <v>2987050</v>
      </c>
      <c r="M84" s="99" t="s">
        <v>243</v>
      </c>
      <c r="N84" s="21"/>
    </row>
    <row r="85" spans="1:14" s="22" customFormat="1" ht="18.75" customHeight="1" x14ac:dyDescent="0.2">
      <c r="A85" s="432"/>
      <c r="B85" s="438"/>
      <c r="C85" s="438"/>
      <c r="D85" s="438"/>
      <c r="E85" s="438"/>
      <c r="F85" s="438"/>
      <c r="G85" s="91" t="s">
        <v>391</v>
      </c>
      <c r="H85" s="440"/>
      <c r="I85" s="456"/>
      <c r="J85" s="456"/>
      <c r="K85" s="94">
        <v>5.9143999999999997</v>
      </c>
      <c r="L85" s="95">
        <f>315487*K85</f>
        <v>1865916.3128</v>
      </c>
      <c r="M85" s="99" t="s">
        <v>272</v>
      </c>
      <c r="N85" s="21"/>
    </row>
    <row r="86" spans="1:14" s="22" customFormat="1" ht="103.9" customHeight="1" x14ac:dyDescent="0.2">
      <c r="A86" s="251"/>
      <c r="B86" s="424" t="s">
        <v>193</v>
      </c>
      <c r="C86" s="252">
        <v>2010</v>
      </c>
      <c r="D86" s="258" t="s">
        <v>25</v>
      </c>
      <c r="E86" s="252" t="s">
        <v>186</v>
      </c>
      <c r="F86" s="254" t="s">
        <v>194</v>
      </c>
      <c r="G86" s="91" t="s">
        <v>370</v>
      </c>
      <c r="H86" s="255" t="s">
        <v>207</v>
      </c>
      <c r="I86" s="257">
        <v>33</v>
      </c>
      <c r="J86" s="257">
        <v>2496</v>
      </c>
      <c r="K86" s="94">
        <v>376.17</v>
      </c>
      <c r="L86" s="95">
        <f>1320*K86</f>
        <v>496544.4</v>
      </c>
      <c r="M86" s="99" t="s">
        <v>187</v>
      </c>
      <c r="N86" s="21"/>
    </row>
    <row r="87" spans="1:14" s="22" customFormat="1" ht="49.15" customHeight="1" x14ac:dyDescent="0.2">
      <c r="A87" s="175"/>
      <c r="B87" s="424" t="s">
        <v>195</v>
      </c>
      <c r="C87" s="174">
        <v>2018</v>
      </c>
      <c r="D87" s="173" t="s">
        <v>63</v>
      </c>
      <c r="E87" s="174" t="s">
        <v>45</v>
      </c>
      <c r="F87" s="355" t="s">
        <v>23</v>
      </c>
      <c r="G87" s="91" t="s">
        <v>196</v>
      </c>
      <c r="H87" s="177" t="s">
        <v>621</v>
      </c>
      <c r="I87" s="178">
        <v>34</v>
      </c>
      <c r="J87" s="178">
        <v>2497</v>
      </c>
      <c r="K87" s="94">
        <v>5.7728000000000002</v>
      </c>
      <c r="L87" s="95">
        <f>118417.83*K87</f>
        <v>683602.44902399997</v>
      </c>
      <c r="M87" s="99" t="s">
        <v>197</v>
      </c>
      <c r="N87" s="21"/>
    </row>
    <row r="88" spans="1:14" s="22" customFormat="1" ht="75" customHeight="1" x14ac:dyDescent="0.2">
      <c r="A88" s="297">
        <v>1694</v>
      </c>
      <c r="B88" s="424" t="s">
        <v>198</v>
      </c>
      <c r="C88" s="293">
        <v>2016</v>
      </c>
      <c r="D88" s="298" t="s">
        <v>152</v>
      </c>
      <c r="E88" s="293">
        <v>2019</v>
      </c>
      <c r="F88" s="294" t="s">
        <v>70</v>
      </c>
      <c r="G88" s="91" t="s">
        <v>71</v>
      </c>
      <c r="H88" s="329" t="s">
        <v>502</v>
      </c>
      <c r="I88" s="299">
        <v>35</v>
      </c>
      <c r="J88" s="299">
        <v>2498</v>
      </c>
      <c r="K88" s="94">
        <v>5.7899000000000003</v>
      </c>
      <c r="L88" s="95">
        <f>44990*K88</f>
        <v>260487.60100000002</v>
      </c>
      <c r="M88" s="99" t="s">
        <v>197</v>
      </c>
      <c r="N88" s="21"/>
    </row>
    <row r="89" spans="1:14" s="22" customFormat="1" ht="25.9" customHeight="1" x14ac:dyDescent="0.2">
      <c r="A89" s="148">
        <v>1695</v>
      </c>
      <c r="B89" s="428" t="s">
        <v>199</v>
      </c>
      <c r="C89" s="149">
        <v>2016</v>
      </c>
      <c r="D89" s="150" t="s">
        <v>152</v>
      </c>
      <c r="E89" s="149">
        <v>2019</v>
      </c>
      <c r="F89" s="153" t="s">
        <v>70</v>
      </c>
      <c r="G89" s="67" t="s">
        <v>71</v>
      </c>
      <c r="H89" s="154" t="s">
        <v>13</v>
      </c>
      <c r="I89" s="147">
        <v>36</v>
      </c>
      <c r="J89" s="147">
        <v>2499</v>
      </c>
      <c r="K89" s="65">
        <v>5.7899000000000003</v>
      </c>
      <c r="L89" s="66">
        <f>44990*K89</f>
        <v>260487.60100000002</v>
      </c>
      <c r="M89" s="124" t="s">
        <v>197</v>
      </c>
      <c r="N89" s="21"/>
    </row>
    <row r="90" spans="1:14" s="22" customFormat="1" ht="73.150000000000006" customHeight="1" x14ac:dyDescent="0.2">
      <c r="A90" s="206">
        <v>1696</v>
      </c>
      <c r="B90" s="424" t="s">
        <v>200</v>
      </c>
      <c r="C90" s="207">
        <v>2011</v>
      </c>
      <c r="D90" s="102" t="s">
        <v>201</v>
      </c>
      <c r="E90" s="207">
        <v>2019</v>
      </c>
      <c r="F90" s="208" t="s">
        <v>26</v>
      </c>
      <c r="G90" s="91" t="s">
        <v>202</v>
      </c>
      <c r="H90" s="209" t="s">
        <v>209</v>
      </c>
      <c r="I90" s="210">
        <v>37</v>
      </c>
      <c r="J90" s="210">
        <v>2500</v>
      </c>
      <c r="K90" s="94">
        <v>358.72</v>
      </c>
      <c r="L90" s="95">
        <f>8140*K90</f>
        <v>2919980.8000000003</v>
      </c>
      <c r="M90" s="99" t="s">
        <v>203</v>
      </c>
      <c r="N90" s="21"/>
    </row>
    <row r="91" spans="1:14" s="22" customFormat="1" ht="17.25" customHeight="1" x14ac:dyDescent="0.2">
      <c r="A91" s="459"/>
      <c r="B91" s="433" t="s">
        <v>205</v>
      </c>
      <c r="C91" s="433">
        <v>2006</v>
      </c>
      <c r="D91" s="469" t="s">
        <v>206</v>
      </c>
      <c r="E91" s="433" t="s">
        <v>45</v>
      </c>
      <c r="F91" s="437" t="s">
        <v>22</v>
      </c>
      <c r="G91" s="91" t="s">
        <v>60</v>
      </c>
      <c r="H91" s="439" t="s">
        <v>92</v>
      </c>
      <c r="I91" s="467">
        <v>38</v>
      </c>
      <c r="J91" s="467">
        <v>2501</v>
      </c>
      <c r="K91" s="94">
        <v>378.3</v>
      </c>
      <c r="L91" s="95">
        <f>9000*K91</f>
        <v>3404700</v>
      </c>
      <c r="M91" s="99" t="s">
        <v>204</v>
      </c>
      <c r="N91" s="21"/>
    </row>
    <row r="92" spans="1:14" s="22" customFormat="1" ht="21" customHeight="1" x14ac:dyDescent="0.2">
      <c r="A92" s="432"/>
      <c r="B92" s="438"/>
      <c r="C92" s="438"/>
      <c r="D92" s="438"/>
      <c r="E92" s="438"/>
      <c r="F92" s="438"/>
      <c r="G92" s="91" t="s">
        <v>217</v>
      </c>
      <c r="H92" s="440"/>
      <c r="I92" s="456"/>
      <c r="J92" s="456"/>
      <c r="K92" s="94">
        <v>378.3</v>
      </c>
      <c r="L92" s="95">
        <f>6000*K92</f>
        <v>2269800</v>
      </c>
      <c r="M92" s="99" t="s">
        <v>214</v>
      </c>
      <c r="N92" s="21"/>
    </row>
    <row r="93" spans="1:14" s="22" customFormat="1" ht="56.45" customHeight="1" x14ac:dyDescent="0.2">
      <c r="A93" s="193"/>
      <c r="B93" s="424" t="s">
        <v>94</v>
      </c>
      <c r="C93" s="194">
        <v>2010</v>
      </c>
      <c r="D93" s="198" t="s">
        <v>95</v>
      </c>
      <c r="E93" s="194" t="s">
        <v>89</v>
      </c>
      <c r="F93" s="195" t="s">
        <v>96</v>
      </c>
      <c r="G93" s="91" t="s">
        <v>291</v>
      </c>
      <c r="H93" s="196" t="s">
        <v>13</v>
      </c>
      <c r="I93" s="197"/>
      <c r="J93" s="197"/>
      <c r="K93" s="94">
        <v>5.8422000000000001</v>
      </c>
      <c r="L93" s="95">
        <f>7770*K93</f>
        <v>45393.894</v>
      </c>
      <c r="M93" s="99" t="s">
        <v>211</v>
      </c>
      <c r="N93" s="21"/>
    </row>
    <row r="94" spans="1:14" s="22" customFormat="1" ht="57" customHeight="1" x14ac:dyDescent="0.2">
      <c r="A94" s="193"/>
      <c r="B94" s="424" t="s">
        <v>212</v>
      </c>
      <c r="C94" s="194">
        <v>2003</v>
      </c>
      <c r="D94" s="198" t="s">
        <v>95</v>
      </c>
      <c r="E94" s="194" t="s">
        <v>131</v>
      </c>
      <c r="F94" s="195" t="s">
        <v>96</v>
      </c>
      <c r="G94" s="91" t="s">
        <v>290</v>
      </c>
      <c r="H94" s="196" t="s">
        <v>13</v>
      </c>
      <c r="I94" s="197">
        <v>39</v>
      </c>
      <c r="J94" s="197">
        <v>2502</v>
      </c>
      <c r="K94" s="94">
        <v>5.8250000000000002</v>
      </c>
      <c r="L94" s="95">
        <f>225290*K94</f>
        <v>1312314.25</v>
      </c>
      <c r="M94" s="99" t="s">
        <v>211</v>
      </c>
      <c r="N94" s="21"/>
    </row>
    <row r="95" spans="1:14" s="22" customFormat="1" ht="65.45" customHeight="1" x14ac:dyDescent="0.2">
      <c r="A95" s="459">
        <v>1697</v>
      </c>
      <c r="B95" s="433" t="s">
        <v>215</v>
      </c>
      <c r="C95" s="433">
        <v>2013</v>
      </c>
      <c r="D95" s="469" t="s">
        <v>216</v>
      </c>
      <c r="E95" s="433">
        <v>2019</v>
      </c>
      <c r="F95" s="437" t="s">
        <v>22</v>
      </c>
      <c r="G95" s="91" t="s">
        <v>60</v>
      </c>
      <c r="H95" s="398" t="s">
        <v>622</v>
      </c>
      <c r="I95" s="467">
        <v>40</v>
      </c>
      <c r="J95" s="467">
        <v>2503</v>
      </c>
      <c r="K95" s="94">
        <v>358.72</v>
      </c>
      <c r="L95" s="95">
        <f>9000*K95</f>
        <v>3228480.0000000005</v>
      </c>
      <c r="M95" s="99" t="s">
        <v>214</v>
      </c>
      <c r="N95" s="21"/>
    </row>
    <row r="96" spans="1:14" s="22" customFormat="1" ht="17.25" customHeight="1" x14ac:dyDescent="0.2">
      <c r="A96" s="487"/>
      <c r="B96" s="478"/>
      <c r="C96" s="478"/>
      <c r="D96" s="478"/>
      <c r="E96" s="478"/>
      <c r="F96" s="478"/>
      <c r="G96" s="91" t="s">
        <v>60</v>
      </c>
      <c r="H96" s="382" t="s">
        <v>479</v>
      </c>
      <c r="I96" s="483"/>
      <c r="J96" s="483"/>
      <c r="K96" s="94">
        <v>375.01</v>
      </c>
      <c r="L96" s="95">
        <f>9000*K96</f>
        <v>3375090</v>
      </c>
      <c r="M96" s="99" t="s">
        <v>243</v>
      </c>
      <c r="N96" s="21"/>
    </row>
    <row r="97" spans="1:14" s="22" customFormat="1" ht="20.25" customHeight="1" x14ac:dyDescent="0.2">
      <c r="A97" s="432"/>
      <c r="B97" s="438"/>
      <c r="C97" s="438"/>
      <c r="D97" s="438"/>
      <c r="E97" s="438"/>
      <c r="F97" s="438"/>
      <c r="G97" s="91" t="s">
        <v>217</v>
      </c>
      <c r="H97" s="382" t="s">
        <v>13</v>
      </c>
      <c r="I97" s="456"/>
      <c r="J97" s="456"/>
      <c r="K97" s="94">
        <v>375.01</v>
      </c>
      <c r="L97" s="95">
        <f>6000*K97</f>
        <v>2250060</v>
      </c>
      <c r="M97" s="99" t="s">
        <v>293</v>
      </c>
      <c r="N97" s="21"/>
    </row>
    <row r="98" spans="1:14" s="22" customFormat="1" ht="43.9" customHeight="1" x14ac:dyDescent="0.2">
      <c r="A98" s="206">
        <v>1698</v>
      </c>
      <c r="B98" s="424" t="s">
        <v>218</v>
      </c>
      <c r="C98" s="207">
        <v>2015</v>
      </c>
      <c r="D98" s="211" t="s">
        <v>25</v>
      </c>
      <c r="E98" s="207">
        <v>2019</v>
      </c>
      <c r="F98" s="208" t="s">
        <v>37</v>
      </c>
      <c r="G98" s="91" t="s">
        <v>219</v>
      </c>
      <c r="H98" s="209" t="s">
        <v>75</v>
      </c>
      <c r="I98" s="210">
        <v>41</v>
      </c>
      <c r="J98" s="210">
        <v>2504</v>
      </c>
      <c r="K98" s="94">
        <v>376.75</v>
      </c>
      <c r="L98" s="95">
        <f>536*K98</f>
        <v>201938</v>
      </c>
      <c r="M98" s="99" t="s">
        <v>220</v>
      </c>
      <c r="N98" s="21"/>
    </row>
    <row r="99" spans="1:14" s="22" customFormat="1" ht="38.450000000000003" customHeight="1" x14ac:dyDescent="0.2">
      <c r="A99" s="166"/>
      <c r="B99" s="428" t="s">
        <v>221</v>
      </c>
      <c r="C99" s="167">
        <v>2014</v>
      </c>
      <c r="D99" s="171" t="s">
        <v>25</v>
      </c>
      <c r="E99" s="172" t="s">
        <v>186</v>
      </c>
      <c r="F99" s="244" t="s">
        <v>222</v>
      </c>
      <c r="G99" s="67" t="s">
        <v>223</v>
      </c>
      <c r="H99" s="212" t="s">
        <v>170</v>
      </c>
      <c r="I99" s="165">
        <v>42</v>
      </c>
      <c r="J99" s="165">
        <v>2505</v>
      </c>
      <c r="K99" s="65">
        <v>56.65</v>
      </c>
      <c r="L99" s="66">
        <f>6390.47*K99</f>
        <v>362020.12550000002</v>
      </c>
      <c r="M99" s="124" t="s">
        <v>224</v>
      </c>
      <c r="N99" s="21"/>
    </row>
    <row r="100" spans="1:14" s="22" customFormat="1" ht="72.599999999999994" customHeight="1" x14ac:dyDescent="0.2">
      <c r="A100" s="175"/>
      <c r="B100" s="424" t="s">
        <v>225</v>
      </c>
      <c r="C100" s="174">
        <v>2008</v>
      </c>
      <c r="D100" s="173" t="s">
        <v>25</v>
      </c>
      <c r="E100" s="174" t="s">
        <v>78</v>
      </c>
      <c r="F100" s="176" t="s">
        <v>114</v>
      </c>
      <c r="G100" s="91" t="s">
        <v>226</v>
      </c>
      <c r="H100" s="177" t="s">
        <v>75</v>
      </c>
      <c r="I100" s="178">
        <v>43</v>
      </c>
      <c r="J100" s="178">
        <v>2506</v>
      </c>
      <c r="K100" s="94"/>
      <c r="L100" s="95">
        <v>169800</v>
      </c>
      <c r="M100" s="99" t="s">
        <v>227</v>
      </c>
      <c r="N100" s="21"/>
    </row>
    <row r="101" spans="1:14" s="22" customFormat="1" ht="58.9" customHeight="1" x14ac:dyDescent="0.2">
      <c r="A101" s="175"/>
      <c r="B101" s="424" t="s">
        <v>228</v>
      </c>
      <c r="C101" s="174">
        <v>2002</v>
      </c>
      <c r="D101" s="173" t="s">
        <v>242</v>
      </c>
      <c r="E101" s="174" t="s">
        <v>241</v>
      </c>
      <c r="F101" s="176" t="s">
        <v>229</v>
      </c>
      <c r="G101" s="91" t="s">
        <v>230</v>
      </c>
      <c r="H101" s="177" t="s">
        <v>13</v>
      </c>
      <c r="I101" s="178">
        <v>44</v>
      </c>
      <c r="J101" s="178">
        <v>2507</v>
      </c>
      <c r="K101" s="94">
        <v>431.39</v>
      </c>
      <c r="L101" s="95">
        <f>1552.54*K101</f>
        <v>669750.23060000001</v>
      </c>
      <c r="M101" s="99" t="s">
        <v>227</v>
      </c>
      <c r="N101" s="21"/>
    </row>
    <row r="102" spans="1:14" s="22" customFormat="1" ht="70.150000000000006" customHeight="1" x14ac:dyDescent="0.2">
      <c r="A102" s="325">
        <v>1699</v>
      </c>
      <c r="B102" s="424" t="s">
        <v>392</v>
      </c>
      <c r="C102" s="321">
        <v>2005</v>
      </c>
      <c r="D102" s="326" t="s">
        <v>393</v>
      </c>
      <c r="E102" s="321">
        <v>2019</v>
      </c>
      <c r="F102" s="322" t="s">
        <v>394</v>
      </c>
      <c r="G102" s="91" t="s">
        <v>395</v>
      </c>
      <c r="H102" s="329" t="s">
        <v>498</v>
      </c>
      <c r="I102" s="327">
        <v>45</v>
      </c>
      <c r="J102" s="327">
        <v>2508</v>
      </c>
      <c r="K102" s="94"/>
      <c r="L102" s="95">
        <v>750000</v>
      </c>
      <c r="M102" s="99" t="s">
        <v>227</v>
      </c>
      <c r="N102" s="21"/>
    </row>
    <row r="103" spans="1:14" s="22" customFormat="1" ht="70.150000000000006" customHeight="1" x14ac:dyDescent="0.2">
      <c r="A103" s="325">
        <v>1700</v>
      </c>
      <c r="B103" s="424" t="s">
        <v>396</v>
      </c>
      <c r="C103" s="321">
        <v>2010</v>
      </c>
      <c r="D103" s="326" t="s">
        <v>397</v>
      </c>
      <c r="E103" s="321">
        <v>2019</v>
      </c>
      <c r="F103" s="322" t="s">
        <v>394</v>
      </c>
      <c r="G103" s="91" t="s">
        <v>395</v>
      </c>
      <c r="H103" s="323" t="s">
        <v>13</v>
      </c>
      <c r="I103" s="327">
        <v>46</v>
      </c>
      <c r="J103" s="327">
        <v>2509</v>
      </c>
      <c r="K103" s="94"/>
      <c r="L103" s="95">
        <v>750000</v>
      </c>
      <c r="M103" s="99" t="s">
        <v>227</v>
      </c>
      <c r="N103" s="21"/>
    </row>
    <row r="104" spans="1:14" s="22" customFormat="1" ht="45.6" customHeight="1" x14ac:dyDescent="0.2">
      <c r="A104" s="325"/>
      <c r="B104" s="424" t="s">
        <v>398</v>
      </c>
      <c r="C104" s="321">
        <v>2016</v>
      </c>
      <c r="D104" s="326" t="s">
        <v>399</v>
      </c>
      <c r="E104" s="321" t="s">
        <v>45</v>
      </c>
      <c r="F104" s="322" t="s">
        <v>394</v>
      </c>
      <c r="G104" s="91" t="s">
        <v>395</v>
      </c>
      <c r="H104" s="323" t="s">
        <v>13</v>
      </c>
      <c r="I104" s="327">
        <v>47</v>
      </c>
      <c r="J104" s="327">
        <v>2510</v>
      </c>
      <c r="K104" s="94"/>
      <c r="L104" s="95">
        <v>750000</v>
      </c>
      <c r="M104" s="99" t="s">
        <v>227</v>
      </c>
      <c r="N104" s="21"/>
    </row>
    <row r="105" spans="1:14" s="22" customFormat="1" ht="87.6" customHeight="1" x14ac:dyDescent="0.2">
      <c r="A105" s="325">
        <v>1701</v>
      </c>
      <c r="B105" s="424" t="s">
        <v>400</v>
      </c>
      <c r="C105" s="321">
        <v>2011</v>
      </c>
      <c r="D105" s="326" t="s">
        <v>401</v>
      </c>
      <c r="E105" s="321">
        <v>2019</v>
      </c>
      <c r="F105" s="322" t="s">
        <v>394</v>
      </c>
      <c r="G105" s="91" t="s">
        <v>395</v>
      </c>
      <c r="H105" s="323" t="s">
        <v>13</v>
      </c>
      <c r="I105" s="327">
        <v>48</v>
      </c>
      <c r="J105" s="327">
        <v>2511</v>
      </c>
      <c r="K105" s="94"/>
      <c r="L105" s="95">
        <v>750000</v>
      </c>
      <c r="M105" s="99" t="s">
        <v>227</v>
      </c>
      <c r="N105" s="21"/>
    </row>
    <row r="106" spans="1:14" s="22" customFormat="1" ht="58.15" customHeight="1" x14ac:dyDescent="0.2">
      <c r="A106" s="325">
        <v>1702</v>
      </c>
      <c r="B106" s="424" t="s">
        <v>402</v>
      </c>
      <c r="C106" s="321">
        <v>2015</v>
      </c>
      <c r="D106" s="326" t="s">
        <v>403</v>
      </c>
      <c r="E106" s="321">
        <v>2019</v>
      </c>
      <c r="F106" s="322" t="s">
        <v>394</v>
      </c>
      <c r="G106" s="91" t="s">
        <v>395</v>
      </c>
      <c r="H106" s="323" t="s">
        <v>13</v>
      </c>
      <c r="I106" s="327">
        <v>49</v>
      </c>
      <c r="J106" s="327">
        <v>2512</v>
      </c>
      <c r="K106" s="94"/>
      <c r="L106" s="95">
        <v>750000</v>
      </c>
      <c r="M106" s="99" t="s">
        <v>227</v>
      </c>
      <c r="N106" s="21"/>
    </row>
    <row r="107" spans="1:14" s="22" customFormat="1" ht="33.6" customHeight="1" x14ac:dyDescent="0.2">
      <c r="A107" s="166"/>
      <c r="B107" s="428" t="s">
        <v>231</v>
      </c>
      <c r="C107" s="167">
        <v>2012</v>
      </c>
      <c r="D107" s="430" t="s">
        <v>232</v>
      </c>
      <c r="E107" s="170" t="s">
        <v>45</v>
      </c>
      <c r="F107" s="169" t="s">
        <v>22</v>
      </c>
      <c r="G107" s="67" t="s">
        <v>233</v>
      </c>
      <c r="H107" s="164" t="s">
        <v>13</v>
      </c>
      <c r="I107" s="165">
        <v>50</v>
      </c>
      <c r="J107" s="165">
        <v>2513</v>
      </c>
      <c r="K107" s="65">
        <v>358.72</v>
      </c>
      <c r="L107" s="66">
        <f>3500*K107</f>
        <v>1255520</v>
      </c>
      <c r="M107" s="124" t="s">
        <v>234</v>
      </c>
      <c r="N107" s="21"/>
    </row>
    <row r="108" spans="1:14" s="22" customFormat="1" ht="87" customHeight="1" x14ac:dyDescent="0.2">
      <c r="A108" s="388"/>
      <c r="B108" s="424" t="s">
        <v>235</v>
      </c>
      <c r="C108" s="385">
        <v>2014</v>
      </c>
      <c r="D108" s="397" t="s">
        <v>236</v>
      </c>
      <c r="E108" s="385" t="s">
        <v>45</v>
      </c>
      <c r="F108" s="386" t="s">
        <v>22</v>
      </c>
      <c r="G108" s="91" t="s">
        <v>217</v>
      </c>
      <c r="H108" s="382" t="s">
        <v>170</v>
      </c>
      <c r="I108" s="383">
        <v>51</v>
      </c>
      <c r="J108" s="383">
        <v>2514</v>
      </c>
      <c r="K108" s="94">
        <v>358.72</v>
      </c>
      <c r="L108" s="95">
        <f>6000*K108</f>
        <v>2152320</v>
      </c>
      <c r="M108" s="99" t="s">
        <v>234</v>
      </c>
      <c r="N108" s="21"/>
    </row>
    <row r="109" spans="1:14" s="22" customFormat="1" ht="57" customHeight="1" x14ac:dyDescent="0.2">
      <c r="A109" s="168">
        <v>1703</v>
      </c>
      <c r="B109" s="428" t="s">
        <v>237</v>
      </c>
      <c r="C109" s="167">
        <v>2009</v>
      </c>
      <c r="D109" s="80" t="s">
        <v>238</v>
      </c>
      <c r="E109" s="170" t="s">
        <v>45</v>
      </c>
      <c r="F109" s="169" t="s">
        <v>239</v>
      </c>
      <c r="G109" s="67" t="s">
        <v>240</v>
      </c>
      <c r="H109" s="164" t="s">
        <v>13</v>
      </c>
      <c r="I109" s="165">
        <v>52</v>
      </c>
      <c r="J109" s="165">
        <v>2515</v>
      </c>
      <c r="K109" s="65">
        <v>5.9119999999999999</v>
      </c>
      <c r="L109" s="66">
        <f>478200*K109</f>
        <v>2827118.4</v>
      </c>
      <c r="M109" s="124" t="s">
        <v>234</v>
      </c>
      <c r="N109" s="21"/>
    </row>
    <row r="110" spans="1:14" s="22" customFormat="1" ht="31.9" customHeight="1" x14ac:dyDescent="0.2">
      <c r="A110" s="273">
        <v>1704</v>
      </c>
      <c r="B110" s="424" t="s">
        <v>250</v>
      </c>
      <c r="C110" s="271">
        <v>2018</v>
      </c>
      <c r="D110" s="102" t="s">
        <v>251</v>
      </c>
      <c r="E110" s="271">
        <v>2019</v>
      </c>
      <c r="F110" s="272" t="s">
        <v>55</v>
      </c>
      <c r="G110" s="91" t="s">
        <v>404</v>
      </c>
      <c r="H110" s="270" t="s">
        <v>13</v>
      </c>
      <c r="I110" s="274">
        <v>53</v>
      </c>
      <c r="J110" s="274">
        <v>2516</v>
      </c>
      <c r="K110" s="94"/>
      <c r="L110" s="95">
        <v>205489</v>
      </c>
      <c r="M110" s="99" t="s">
        <v>405</v>
      </c>
      <c r="N110" s="21"/>
    </row>
    <row r="111" spans="1:14" s="22" customFormat="1" ht="42" customHeight="1" x14ac:dyDescent="0.2">
      <c r="A111" s="273">
        <v>1705</v>
      </c>
      <c r="B111" s="424" t="s">
        <v>406</v>
      </c>
      <c r="C111" s="271">
        <v>2001</v>
      </c>
      <c r="D111" s="102" t="s">
        <v>407</v>
      </c>
      <c r="E111" s="271">
        <v>2019</v>
      </c>
      <c r="F111" s="272" t="s">
        <v>55</v>
      </c>
      <c r="G111" s="91" t="s">
        <v>408</v>
      </c>
      <c r="H111" s="270" t="s">
        <v>13</v>
      </c>
      <c r="I111" s="274">
        <v>54</v>
      </c>
      <c r="J111" s="274">
        <v>2517</v>
      </c>
      <c r="K111" s="94"/>
      <c r="L111" s="95">
        <v>1549672</v>
      </c>
      <c r="M111" s="99" t="s">
        <v>405</v>
      </c>
      <c r="N111" s="21"/>
    </row>
    <row r="112" spans="1:14" s="22" customFormat="1" ht="26.25" customHeight="1" x14ac:dyDescent="0.2">
      <c r="A112" s="459">
        <v>1706</v>
      </c>
      <c r="B112" s="433" t="s">
        <v>409</v>
      </c>
      <c r="C112" s="433"/>
      <c r="D112" s="469" t="s">
        <v>410</v>
      </c>
      <c r="E112" s="433">
        <v>2019</v>
      </c>
      <c r="F112" s="437" t="s">
        <v>55</v>
      </c>
      <c r="G112" s="91" t="s">
        <v>411</v>
      </c>
      <c r="H112" s="439" t="s">
        <v>499</v>
      </c>
      <c r="I112" s="467">
        <v>55</v>
      </c>
      <c r="J112" s="467">
        <v>2518</v>
      </c>
      <c r="K112" s="94"/>
      <c r="L112" s="95">
        <v>436600</v>
      </c>
      <c r="M112" s="99" t="s">
        <v>405</v>
      </c>
      <c r="N112" s="21"/>
    </row>
    <row r="113" spans="1:14" s="22" customFormat="1" ht="39.6" customHeight="1" x14ac:dyDescent="0.2">
      <c r="A113" s="460"/>
      <c r="B113" s="434"/>
      <c r="C113" s="434"/>
      <c r="D113" s="472"/>
      <c r="E113" s="434"/>
      <c r="F113" s="438"/>
      <c r="G113" s="91" t="s">
        <v>412</v>
      </c>
      <c r="H113" s="440"/>
      <c r="I113" s="470"/>
      <c r="J113" s="470"/>
      <c r="K113" s="94"/>
      <c r="L113" s="95">
        <v>467130</v>
      </c>
      <c r="M113" s="99" t="s">
        <v>342</v>
      </c>
      <c r="N113" s="21"/>
    </row>
    <row r="114" spans="1:14" s="22" customFormat="1" ht="48" customHeight="1" x14ac:dyDescent="0.2">
      <c r="A114" s="261">
        <v>1707</v>
      </c>
      <c r="B114" s="424" t="s">
        <v>244</v>
      </c>
      <c r="C114" s="262">
        <v>2017</v>
      </c>
      <c r="D114" s="102" t="s">
        <v>245</v>
      </c>
      <c r="E114" s="262">
        <v>2019</v>
      </c>
      <c r="F114" s="264" t="s">
        <v>246</v>
      </c>
      <c r="G114" s="91" t="s">
        <v>390</v>
      </c>
      <c r="H114" s="265" t="s">
        <v>13</v>
      </c>
      <c r="I114" s="268">
        <v>56</v>
      </c>
      <c r="J114" s="268">
        <v>2519</v>
      </c>
      <c r="K114" s="94">
        <v>5.9943999999999997</v>
      </c>
      <c r="L114" s="95">
        <f>70000*K114</f>
        <v>419608</v>
      </c>
      <c r="M114" s="99" t="s">
        <v>243</v>
      </c>
      <c r="N114" s="21"/>
    </row>
    <row r="115" spans="1:14" s="22" customFormat="1" ht="61.15" customHeight="1" x14ac:dyDescent="0.2">
      <c r="A115" s="412"/>
      <c r="B115" s="424" t="s">
        <v>585</v>
      </c>
      <c r="C115" s="413">
        <v>2014</v>
      </c>
      <c r="D115" s="415" t="s">
        <v>586</v>
      </c>
      <c r="E115" s="413" t="s">
        <v>587</v>
      </c>
      <c r="F115" s="413" t="s">
        <v>96</v>
      </c>
      <c r="G115" s="91" t="s">
        <v>588</v>
      </c>
      <c r="H115" s="414" t="s">
        <v>13</v>
      </c>
      <c r="I115" s="416">
        <v>57</v>
      </c>
      <c r="J115" s="416">
        <v>2520</v>
      </c>
      <c r="K115" s="94">
        <v>5.86</v>
      </c>
      <c r="L115" s="95">
        <f>46940*K115</f>
        <v>275068.40000000002</v>
      </c>
      <c r="M115" s="99" t="s">
        <v>589</v>
      </c>
      <c r="N115" s="21"/>
    </row>
    <row r="116" spans="1:14" s="22" customFormat="1" ht="60.6" customHeight="1" x14ac:dyDescent="0.2">
      <c r="A116" s="417"/>
      <c r="B116" s="424" t="s">
        <v>590</v>
      </c>
      <c r="C116" s="418">
        <v>2008</v>
      </c>
      <c r="D116" s="420" t="s">
        <v>591</v>
      </c>
      <c r="E116" s="413" t="s">
        <v>587</v>
      </c>
      <c r="F116" s="413" t="s">
        <v>96</v>
      </c>
      <c r="G116" s="91" t="s">
        <v>592</v>
      </c>
      <c r="H116" s="414" t="s">
        <v>13</v>
      </c>
      <c r="I116" s="419">
        <v>58</v>
      </c>
      <c r="J116" s="419">
        <v>2521</v>
      </c>
      <c r="K116" s="94">
        <v>5.86</v>
      </c>
      <c r="L116" s="95">
        <f>51990*K116</f>
        <v>304661.40000000002</v>
      </c>
      <c r="M116" s="99" t="s">
        <v>589</v>
      </c>
      <c r="N116" s="21"/>
    </row>
    <row r="117" spans="1:14" s="22" customFormat="1" ht="26.25" customHeight="1" x14ac:dyDescent="0.2">
      <c r="A117" s="484"/>
      <c r="B117" s="444" t="s">
        <v>178</v>
      </c>
      <c r="C117" s="444">
        <v>2004</v>
      </c>
      <c r="D117" s="473" t="s">
        <v>179</v>
      </c>
      <c r="E117" s="444" t="s">
        <v>249</v>
      </c>
      <c r="F117" s="450" t="s">
        <v>247</v>
      </c>
      <c r="G117" s="67" t="s">
        <v>213</v>
      </c>
      <c r="H117" s="452" t="s">
        <v>13</v>
      </c>
      <c r="I117" s="474"/>
      <c r="J117" s="474"/>
      <c r="K117" s="65">
        <v>5.9199000000000002</v>
      </c>
      <c r="L117" s="66">
        <f>500000*K117</f>
        <v>2959950</v>
      </c>
      <c r="M117" s="124" t="s">
        <v>248</v>
      </c>
      <c r="N117" s="21"/>
    </row>
    <row r="118" spans="1:14" s="22" customFormat="1" ht="45.6" customHeight="1" x14ac:dyDescent="0.2">
      <c r="A118" s="443"/>
      <c r="B118" s="446"/>
      <c r="C118" s="446"/>
      <c r="D118" s="446"/>
      <c r="E118" s="446"/>
      <c r="F118" s="446"/>
      <c r="G118" s="67" t="s">
        <v>273</v>
      </c>
      <c r="H118" s="454"/>
      <c r="I118" s="488"/>
      <c r="J118" s="488"/>
      <c r="K118" s="65">
        <v>5.9154999999999998</v>
      </c>
      <c r="L118" s="66">
        <f>191410*K118</f>
        <v>1132285.855</v>
      </c>
      <c r="M118" s="124" t="s">
        <v>272</v>
      </c>
      <c r="N118" s="21"/>
    </row>
    <row r="119" spans="1:14" s="22" customFormat="1" ht="23.25" customHeight="1" x14ac:dyDescent="0.2">
      <c r="A119" s="459"/>
      <c r="B119" s="433" t="s">
        <v>250</v>
      </c>
      <c r="C119" s="433">
        <v>2018</v>
      </c>
      <c r="D119" s="469" t="s">
        <v>251</v>
      </c>
      <c r="E119" s="433" t="s">
        <v>78</v>
      </c>
      <c r="F119" s="437" t="s">
        <v>252</v>
      </c>
      <c r="G119" s="91" t="s">
        <v>253</v>
      </c>
      <c r="H119" s="439" t="s">
        <v>308</v>
      </c>
      <c r="I119" s="467">
        <v>59</v>
      </c>
      <c r="J119" s="467">
        <v>2522</v>
      </c>
      <c r="K119" s="94">
        <v>5.9199000000000002</v>
      </c>
      <c r="L119" s="95">
        <f>160000*K119</f>
        <v>947184</v>
      </c>
      <c r="M119" s="99" t="s">
        <v>248</v>
      </c>
      <c r="N119" s="21"/>
    </row>
    <row r="120" spans="1:14" s="22" customFormat="1" ht="25.5" customHeight="1" x14ac:dyDescent="0.2">
      <c r="A120" s="432"/>
      <c r="B120" s="438"/>
      <c r="C120" s="438"/>
      <c r="D120" s="472"/>
      <c r="E120" s="438"/>
      <c r="F120" s="438"/>
      <c r="G120" s="91" t="s">
        <v>309</v>
      </c>
      <c r="H120" s="440"/>
      <c r="I120" s="456"/>
      <c r="J120" s="456"/>
      <c r="K120" s="94">
        <v>6.0225</v>
      </c>
      <c r="L120" s="95">
        <f>152200*K120</f>
        <v>916624.5</v>
      </c>
      <c r="M120" s="99" t="s">
        <v>310</v>
      </c>
      <c r="N120" s="21"/>
    </row>
    <row r="121" spans="1:14" s="22" customFormat="1" ht="70.900000000000006" customHeight="1" x14ac:dyDescent="0.2">
      <c r="A121" s="189"/>
      <c r="B121" s="428" t="s">
        <v>254</v>
      </c>
      <c r="C121" s="187">
        <v>2011</v>
      </c>
      <c r="D121" s="133" t="s">
        <v>152</v>
      </c>
      <c r="E121" s="187" t="s">
        <v>180</v>
      </c>
      <c r="F121" s="180" t="s">
        <v>70</v>
      </c>
      <c r="G121" s="67" t="s">
        <v>71</v>
      </c>
      <c r="H121" s="188" t="s">
        <v>13</v>
      </c>
      <c r="I121" s="179"/>
      <c r="J121" s="179"/>
      <c r="K121" s="65">
        <v>5.9409000000000001</v>
      </c>
      <c r="L121" s="66">
        <f>44990*K121</f>
        <v>267281.09100000001</v>
      </c>
      <c r="M121" s="124" t="s">
        <v>248</v>
      </c>
      <c r="N121" s="21"/>
    </row>
    <row r="122" spans="1:14" s="22" customFormat="1" ht="43.15" customHeight="1" x14ac:dyDescent="0.2">
      <c r="A122" s="181"/>
      <c r="B122" s="424" t="s">
        <v>255</v>
      </c>
      <c r="C122" s="182">
        <v>2013</v>
      </c>
      <c r="D122" s="186" t="s">
        <v>63</v>
      </c>
      <c r="E122" s="182" t="s">
        <v>256</v>
      </c>
      <c r="F122" s="183" t="s">
        <v>23</v>
      </c>
      <c r="G122" s="91" t="s">
        <v>257</v>
      </c>
      <c r="H122" s="184" t="s">
        <v>13</v>
      </c>
      <c r="I122" s="185">
        <v>60</v>
      </c>
      <c r="J122" s="185">
        <v>2523</v>
      </c>
      <c r="K122" s="94">
        <v>5.9409000000000001</v>
      </c>
      <c r="L122" s="95">
        <f>72371*K122</f>
        <v>429948.87390000001</v>
      </c>
      <c r="M122" s="99" t="s">
        <v>248</v>
      </c>
      <c r="N122" s="21"/>
    </row>
    <row r="123" spans="1:14" s="22" customFormat="1" ht="44.45" customHeight="1" x14ac:dyDescent="0.2">
      <c r="A123" s="181">
        <v>1708</v>
      </c>
      <c r="B123" s="424" t="s">
        <v>258</v>
      </c>
      <c r="C123" s="182">
        <v>2016</v>
      </c>
      <c r="D123" s="190" t="s">
        <v>259</v>
      </c>
      <c r="E123" s="182">
        <v>2019</v>
      </c>
      <c r="F123" s="183" t="s">
        <v>23</v>
      </c>
      <c r="G123" s="91" t="s">
        <v>260</v>
      </c>
      <c r="H123" s="184" t="s">
        <v>13</v>
      </c>
      <c r="I123" s="185">
        <v>61</v>
      </c>
      <c r="J123" s="185">
        <v>2524</v>
      </c>
      <c r="K123" s="94">
        <v>5.9199000000000002</v>
      </c>
      <c r="L123" s="95">
        <f>110466.17*K123</f>
        <v>653948.67978300003</v>
      </c>
      <c r="M123" s="99" t="s">
        <v>248</v>
      </c>
      <c r="N123" s="21"/>
    </row>
    <row r="124" spans="1:14" s="22" customFormat="1" ht="43.15" customHeight="1" x14ac:dyDescent="0.2">
      <c r="A124" s="181">
        <v>1709</v>
      </c>
      <c r="B124" s="424" t="s">
        <v>261</v>
      </c>
      <c r="C124" s="182">
        <v>2016</v>
      </c>
      <c r="D124" s="190" t="s">
        <v>259</v>
      </c>
      <c r="E124" s="182">
        <v>2019</v>
      </c>
      <c r="F124" s="183" t="s">
        <v>23</v>
      </c>
      <c r="G124" s="91" t="s">
        <v>263</v>
      </c>
      <c r="H124" s="184" t="s">
        <v>13</v>
      </c>
      <c r="I124" s="185">
        <v>62</v>
      </c>
      <c r="J124" s="185">
        <v>2525</v>
      </c>
      <c r="K124" s="94">
        <v>5.9199000000000002</v>
      </c>
      <c r="L124" s="95">
        <f>114727.17*K124</f>
        <v>679173.37368299998</v>
      </c>
      <c r="M124" s="99" t="s">
        <v>248</v>
      </c>
      <c r="N124" s="21"/>
    </row>
    <row r="125" spans="1:14" s="22" customFormat="1" ht="42.6" customHeight="1" x14ac:dyDescent="0.2">
      <c r="A125" s="181">
        <v>1710</v>
      </c>
      <c r="B125" s="424" t="s">
        <v>262</v>
      </c>
      <c r="C125" s="182">
        <v>2018</v>
      </c>
      <c r="D125" s="190" t="s">
        <v>259</v>
      </c>
      <c r="E125" s="182">
        <v>2019</v>
      </c>
      <c r="F125" s="191" t="s">
        <v>23</v>
      </c>
      <c r="G125" s="91" t="s">
        <v>264</v>
      </c>
      <c r="H125" s="184" t="s">
        <v>13</v>
      </c>
      <c r="I125" s="185">
        <v>63</v>
      </c>
      <c r="J125" s="185">
        <v>2526</v>
      </c>
      <c r="K125" s="94">
        <v>5.9199000000000002</v>
      </c>
      <c r="L125" s="95">
        <f>124284.17*K125</f>
        <v>735749.85798299999</v>
      </c>
      <c r="M125" s="99" t="s">
        <v>248</v>
      </c>
      <c r="N125" s="21"/>
    </row>
    <row r="126" spans="1:14" s="22" customFormat="1" ht="45.6" customHeight="1" x14ac:dyDescent="0.2">
      <c r="A126" s="181">
        <v>1711</v>
      </c>
      <c r="B126" s="424" t="s">
        <v>265</v>
      </c>
      <c r="C126" s="182">
        <v>2009</v>
      </c>
      <c r="D126" s="190" t="s">
        <v>259</v>
      </c>
      <c r="E126" s="182">
        <v>2019</v>
      </c>
      <c r="F126" s="183" t="s">
        <v>23</v>
      </c>
      <c r="G126" s="91" t="s">
        <v>266</v>
      </c>
      <c r="H126" s="184" t="s">
        <v>13</v>
      </c>
      <c r="I126" s="185">
        <v>64</v>
      </c>
      <c r="J126" s="185">
        <v>2527</v>
      </c>
      <c r="K126" s="94">
        <v>5.9199000000000002</v>
      </c>
      <c r="L126" s="95">
        <f>129417.84*K126</f>
        <v>766140.67101599998</v>
      </c>
      <c r="M126" s="99" t="s">
        <v>248</v>
      </c>
      <c r="N126" s="21"/>
    </row>
    <row r="127" spans="1:14" s="22" customFormat="1" ht="58.9" customHeight="1" x14ac:dyDescent="0.2">
      <c r="A127" s="193">
        <v>1712</v>
      </c>
      <c r="B127" s="424" t="s">
        <v>268</v>
      </c>
      <c r="C127" s="194">
        <v>2009</v>
      </c>
      <c r="D127" s="102" t="s">
        <v>269</v>
      </c>
      <c r="E127" s="194">
        <v>2019</v>
      </c>
      <c r="F127" s="259" t="s">
        <v>270</v>
      </c>
      <c r="G127" s="91" t="s">
        <v>271</v>
      </c>
      <c r="H127" s="196" t="s">
        <v>13</v>
      </c>
      <c r="I127" s="197">
        <v>65</v>
      </c>
      <c r="J127" s="197">
        <v>2528</v>
      </c>
      <c r="K127" s="94">
        <v>5.9177</v>
      </c>
      <c r="L127" s="95">
        <f>146335*K127</f>
        <v>865966.62950000004</v>
      </c>
      <c r="M127" s="99" t="s">
        <v>272</v>
      </c>
      <c r="N127" s="21"/>
    </row>
    <row r="128" spans="1:14" s="22" customFormat="1" ht="30.6" customHeight="1" x14ac:dyDescent="0.2">
      <c r="A128" s="347"/>
      <c r="B128" s="424" t="s">
        <v>274</v>
      </c>
      <c r="C128" s="343">
        <v>2010</v>
      </c>
      <c r="D128" s="190" t="s">
        <v>275</v>
      </c>
      <c r="E128" s="343" t="s">
        <v>45</v>
      </c>
      <c r="F128" s="344" t="s">
        <v>276</v>
      </c>
      <c r="G128" s="91" t="s">
        <v>277</v>
      </c>
      <c r="H128" s="345" t="s">
        <v>13</v>
      </c>
      <c r="I128" s="348">
        <v>66</v>
      </c>
      <c r="J128" s="348">
        <v>2529</v>
      </c>
      <c r="K128" s="94">
        <v>5.9164000000000003</v>
      </c>
      <c r="L128" s="95">
        <f>451750*K128</f>
        <v>2672733.7000000002</v>
      </c>
      <c r="M128" s="99" t="s">
        <v>272</v>
      </c>
      <c r="N128" s="21"/>
    </row>
    <row r="129" spans="1:14" s="22" customFormat="1" ht="41.45" customHeight="1" x14ac:dyDescent="0.2">
      <c r="A129" s="193">
        <v>1713</v>
      </c>
      <c r="B129" s="424" t="s">
        <v>322</v>
      </c>
      <c r="C129" s="194">
        <v>2017</v>
      </c>
      <c r="D129" s="102" t="s">
        <v>63</v>
      </c>
      <c r="E129" s="194">
        <v>2019</v>
      </c>
      <c r="F129" s="195" t="s">
        <v>23</v>
      </c>
      <c r="G129" s="91" t="s">
        <v>278</v>
      </c>
      <c r="H129" s="196" t="s">
        <v>13</v>
      </c>
      <c r="I129" s="197">
        <v>67</v>
      </c>
      <c r="J129" s="197">
        <v>2530</v>
      </c>
      <c r="K129" s="94">
        <v>5.9157000000000002</v>
      </c>
      <c r="L129" s="95">
        <f>111937.17*K129</f>
        <v>662186.71656900004</v>
      </c>
      <c r="M129" s="99" t="s">
        <v>272</v>
      </c>
      <c r="N129" s="21"/>
    </row>
    <row r="130" spans="1:14" s="22" customFormat="1" ht="43.9" customHeight="1" x14ac:dyDescent="0.2">
      <c r="A130" s="193">
        <v>1714</v>
      </c>
      <c r="B130" s="424" t="s">
        <v>279</v>
      </c>
      <c r="C130" s="194">
        <v>2018</v>
      </c>
      <c r="D130" s="102" t="s">
        <v>63</v>
      </c>
      <c r="E130" s="194">
        <v>2019</v>
      </c>
      <c r="F130" s="195" t="s">
        <v>23</v>
      </c>
      <c r="G130" s="91" t="s">
        <v>280</v>
      </c>
      <c r="H130" s="196" t="s">
        <v>13</v>
      </c>
      <c r="I130" s="197">
        <v>68</v>
      </c>
      <c r="J130" s="197">
        <v>2531</v>
      </c>
      <c r="K130" s="94">
        <v>5.9181999999999997</v>
      </c>
      <c r="L130" s="95">
        <f>112569.17*K130</f>
        <v>666206.86189399997</v>
      </c>
      <c r="M130" s="99" t="s">
        <v>272</v>
      </c>
      <c r="N130" s="21"/>
    </row>
    <row r="131" spans="1:14" s="22" customFormat="1" ht="57" customHeight="1" x14ac:dyDescent="0.2">
      <c r="A131" s="193">
        <v>1715</v>
      </c>
      <c r="B131" s="424" t="s">
        <v>286</v>
      </c>
      <c r="C131" s="194">
        <v>2012</v>
      </c>
      <c r="D131" s="110" t="s">
        <v>287</v>
      </c>
      <c r="E131" s="194">
        <v>2019</v>
      </c>
      <c r="F131" s="219" t="s">
        <v>23</v>
      </c>
      <c r="G131" s="91" t="s">
        <v>281</v>
      </c>
      <c r="H131" s="196" t="s">
        <v>13</v>
      </c>
      <c r="I131" s="197">
        <v>69</v>
      </c>
      <c r="J131" s="197">
        <v>2532</v>
      </c>
      <c r="K131" s="94">
        <v>5.9344999999999999</v>
      </c>
      <c r="L131" s="95">
        <f>40584*K131</f>
        <v>240845.74799999999</v>
      </c>
      <c r="M131" s="99" t="s">
        <v>272</v>
      </c>
      <c r="N131" s="21"/>
    </row>
    <row r="132" spans="1:14" s="22" customFormat="1" ht="71.45" customHeight="1" x14ac:dyDescent="0.2">
      <c r="A132" s="214">
        <v>1716</v>
      </c>
      <c r="B132" s="424" t="s">
        <v>288</v>
      </c>
      <c r="C132" s="215">
        <v>2004</v>
      </c>
      <c r="D132" s="218" t="s">
        <v>25</v>
      </c>
      <c r="E132" s="215">
        <v>2019</v>
      </c>
      <c r="F132" s="215" t="s">
        <v>114</v>
      </c>
      <c r="G132" s="91" t="s">
        <v>283</v>
      </c>
      <c r="H132" s="216" t="s">
        <v>75</v>
      </c>
      <c r="I132" s="217">
        <v>70</v>
      </c>
      <c r="J132" s="217">
        <v>2533</v>
      </c>
      <c r="K132" s="94"/>
      <c r="L132" s="95">
        <v>202100</v>
      </c>
      <c r="M132" s="99" t="s">
        <v>282</v>
      </c>
      <c r="N132" s="199"/>
    </row>
    <row r="133" spans="1:14" s="22" customFormat="1" ht="33" customHeight="1" x14ac:dyDescent="0.2">
      <c r="A133" s="253">
        <v>1717</v>
      </c>
      <c r="B133" s="424" t="s">
        <v>284</v>
      </c>
      <c r="C133" s="254">
        <v>2015</v>
      </c>
      <c r="D133" s="251" t="s">
        <v>25</v>
      </c>
      <c r="E133" s="254">
        <v>2019</v>
      </c>
      <c r="F133" s="254" t="s">
        <v>289</v>
      </c>
      <c r="G133" s="91" t="s">
        <v>285</v>
      </c>
      <c r="H133" s="255" t="s">
        <v>75</v>
      </c>
      <c r="I133" s="256">
        <v>71</v>
      </c>
      <c r="J133" s="256">
        <v>2534</v>
      </c>
      <c r="K133" s="94"/>
      <c r="L133" s="95">
        <v>132200</v>
      </c>
      <c r="M133" s="99" t="s">
        <v>282</v>
      </c>
      <c r="N133" s="21"/>
    </row>
    <row r="134" spans="1:14" s="22" customFormat="1" ht="21.75" customHeight="1" x14ac:dyDescent="0.2">
      <c r="A134" s="431">
        <v>1718</v>
      </c>
      <c r="B134" s="433" t="s">
        <v>413</v>
      </c>
      <c r="C134" s="437">
        <v>2015</v>
      </c>
      <c r="D134" s="433" t="s">
        <v>414</v>
      </c>
      <c r="E134" s="437">
        <v>2019</v>
      </c>
      <c r="F134" s="437" t="s">
        <v>55</v>
      </c>
      <c r="G134" s="91" t="s">
        <v>415</v>
      </c>
      <c r="H134" s="439" t="s">
        <v>503</v>
      </c>
      <c r="I134" s="455">
        <v>72</v>
      </c>
      <c r="J134" s="455">
        <v>2535</v>
      </c>
      <c r="K134" s="94"/>
      <c r="L134" s="95">
        <v>700000</v>
      </c>
      <c r="M134" s="99" t="s">
        <v>293</v>
      </c>
      <c r="N134" s="21"/>
    </row>
    <row r="135" spans="1:14" s="22" customFormat="1" ht="45" customHeight="1" x14ac:dyDescent="0.2">
      <c r="A135" s="432"/>
      <c r="B135" s="434"/>
      <c r="C135" s="438"/>
      <c r="D135" s="434"/>
      <c r="E135" s="438"/>
      <c r="F135" s="438"/>
      <c r="G135" s="91" t="s">
        <v>416</v>
      </c>
      <c r="H135" s="440"/>
      <c r="I135" s="456"/>
      <c r="J135" s="456"/>
      <c r="K135" s="94"/>
      <c r="L135" s="95">
        <v>721199</v>
      </c>
      <c r="M135" s="99" t="s">
        <v>385</v>
      </c>
      <c r="N135" s="21"/>
    </row>
    <row r="136" spans="1:14" s="22" customFormat="1" ht="101.45" customHeight="1" x14ac:dyDescent="0.2">
      <c r="A136" s="337"/>
      <c r="B136" s="424" t="s">
        <v>295</v>
      </c>
      <c r="C136" s="338">
        <v>2010</v>
      </c>
      <c r="D136" s="341" t="s">
        <v>296</v>
      </c>
      <c r="E136" s="338" t="s">
        <v>298</v>
      </c>
      <c r="F136" s="338" t="s">
        <v>22</v>
      </c>
      <c r="G136" s="91" t="s">
        <v>297</v>
      </c>
      <c r="H136" s="339" t="s">
        <v>306</v>
      </c>
      <c r="I136" s="340">
        <v>73</v>
      </c>
      <c r="J136" s="340">
        <v>2536</v>
      </c>
      <c r="K136" s="94">
        <v>375.01</v>
      </c>
      <c r="L136" s="95">
        <f>4000*K136</f>
        <v>1500040</v>
      </c>
      <c r="M136" s="99" t="s">
        <v>294</v>
      </c>
      <c r="N136" s="21"/>
    </row>
    <row r="137" spans="1:14" s="22" customFormat="1" ht="46.9" customHeight="1" x14ac:dyDescent="0.2">
      <c r="A137" s="221">
        <v>1719</v>
      </c>
      <c r="B137" s="424" t="s">
        <v>299</v>
      </c>
      <c r="C137" s="220">
        <v>2018</v>
      </c>
      <c r="D137" s="275" t="s">
        <v>63</v>
      </c>
      <c r="E137" s="220">
        <v>2019</v>
      </c>
      <c r="F137" s="224" t="s">
        <v>23</v>
      </c>
      <c r="G137" s="91" t="s">
        <v>300</v>
      </c>
      <c r="H137" s="223" t="s">
        <v>307</v>
      </c>
      <c r="I137" s="222">
        <v>74</v>
      </c>
      <c r="J137" s="222">
        <v>2537</v>
      </c>
      <c r="K137" s="94">
        <v>5.9607999999999999</v>
      </c>
      <c r="L137" s="95">
        <f>112433.17*K137</f>
        <v>670191.63973599998</v>
      </c>
      <c r="M137" s="99" t="s">
        <v>294</v>
      </c>
      <c r="N137" s="21"/>
    </row>
    <row r="138" spans="1:14" s="22" customFormat="1" ht="32.450000000000003" customHeight="1" x14ac:dyDescent="0.2">
      <c r="A138" s="373">
        <v>1720</v>
      </c>
      <c r="B138" s="424" t="s">
        <v>311</v>
      </c>
      <c r="C138" s="374">
        <v>2003</v>
      </c>
      <c r="D138" s="377" t="s">
        <v>25</v>
      </c>
      <c r="E138" s="374">
        <v>2019</v>
      </c>
      <c r="F138" s="374" t="s">
        <v>312</v>
      </c>
      <c r="G138" s="91" t="s">
        <v>313</v>
      </c>
      <c r="H138" s="375" t="s">
        <v>75</v>
      </c>
      <c r="I138" s="376">
        <v>75</v>
      </c>
      <c r="J138" s="376">
        <v>2538</v>
      </c>
      <c r="K138" s="94"/>
      <c r="L138" s="95">
        <v>153700</v>
      </c>
      <c r="M138" s="99" t="s">
        <v>314</v>
      </c>
      <c r="N138" s="21"/>
    </row>
    <row r="139" spans="1:14" s="22" customFormat="1" ht="45" customHeight="1" x14ac:dyDescent="0.2">
      <c r="A139" s="384"/>
      <c r="B139" s="424" t="s">
        <v>301</v>
      </c>
      <c r="C139" s="386">
        <v>2000</v>
      </c>
      <c r="D139" s="385" t="s">
        <v>302</v>
      </c>
      <c r="E139" s="386" t="s">
        <v>133</v>
      </c>
      <c r="F139" s="386" t="s">
        <v>303</v>
      </c>
      <c r="G139" s="91" t="s">
        <v>304</v>
      </c>
      <c r="H139" s="382" t="s">
        <v>13</v>
      </c>
      <c r="I139" s="387">
        <v>76</v>
      </c>
      <c r="J139" s="387">
        <v>2539</v>
      </c>
      <c r="K139" s="94">
        <v>375.01</v>
      </c>
      <c r="L139" s="95">
        <f>8500*K139</f>
        <v>3187585</v>
      </c>
      <c r="M139" s="99" t="s">
        <v>305</v>
      </c>
      <c r="N139" s="21"/>
    </row>
    <row r="140" spans="1:14" s="22" customFormat="1" ht="32.450000000000003" customHeight="1" x14ac:dyDescent="0.2">
      <c r="A140" s="384"/>
      <c r="B140" s="424" t="s">
        <v>43</v>
      </c>
      <c r="C140" s="386">
        <v>2001</v>
      </c>
      <c r="D140" s="385" t="s">
        <v>42</v>
      </c>
      <c r="E140" s="386" t="s">
        <v>133</v>
      </c>
      <c r="F140" s="386" t="s">
        <v>303</v>
      </c>
      <c r="G140" s="91" t="s">
        <v>304</v>
      </c>
      <c r="H140" s="382" t="s">
        <v>13</v>
      </c>
      <c r="I140" s="387">
        <v>77</v>
      </c>
      <c r="J140" s="387">
        <v>2540</v>
      </c>
      <c r="K140" s="94">
        <v>375.01</v>
      </c>
      <c r="L140" s="95">
        <f>8500*K140</f>
        <v>3187585</v>
      </c>
      <c r="M140" s="99" t="s">
        <v>305</v>
      </c>
      <c r="N140" s="21"/>
    </row>
    <row r="141" spans="1:14" s="22" customFormat="1" ht="32.450000000000003" customHeight="1" x14ac:dyDescent="0.2">
      <c r="A141" s="276"/>
      <c r="B141" s="424" t="s">
        <v>316</v>
      </c>
      <c r="C141" s="277">
        <v>2012</v>
      </c>
      <c r="D141" s="280" t="s">
        <v>315</v>
      </c>
      <c r="E141" s="277" t="s">
        <v>45</v>
      </c>
      <c r="F141" s="277" t="s">
        <v>317</v>
      </c>
      <c r="G141" s="91" t="s">
        <v>442</v>
      </c>
      <c r="H141" s="278" t="s">
        <v>13</v>
      </c>
      <c r="I141" s="279">
        <v>78</v>
      </c>
      <c r="J141" s="279">
        <v>2541</v>
      </c>
      <c r="K141" s="94">
        <v>6.0221</v>
      </c>
      <c r="L141" s="95">
        <f>247850*K141</f>
        <v>1492577.4850000001</v>
      </c>
      <c r="M141" s="99" t="s">
        <v>310</v>
      </c>
      <c r="N141" s="21"/>
    </row>
    <row r="142" spans="1:14" s="22" customFormat="1" ht="84" customHeight="1" x14ac:dyDescent="0.2">
      <c r="A142" s="384"/>
      <c r="B142" s="424" t="s">
        <v>318</v>
      </c>
      <c r="C142" s="386">
        <v>2009</v>
      </c>
      <c r="D142" s="230" t="s">
        <v>319</v>
      </c>
      <c r="E142" s="386" t="s">
        <v>133</v>
      </c>
      <c r="F142" s="386" t="s">
        <v>320</v>
      </c>
      <c r="G142" s="91" t="s">
        <v>559</v>
      </c>
      <c r="H142" s="382" t="s">
        <v>458</v>
      </c>
      <c r="I142" s="387">
        <v>79</v>
      </c>
      <c r="J142" s="387">
        <v>2542</v>
      </c>
      <c r="K142" s="94">
        <v>6.0099</v>
      </c>
      <c r="L142" s="95">
        <f>39050*K142</f>
        <v>234686.595</v>
      </c>
      <c r="M142" s="99" t="s">
        <v>321</v>
      </c>
      <c r="N142" s="21"/>
    </row>
    <row r="143" spans="1:14" s="22" customFormat="1" ht="19.5" customHeight="1" x14ac:dyDescent="0.2">
      <c r="A143" s="431"/>
      <c r="B143" s="433" t="s">
        <v>324</v>
      </c>
      <c r="C143" s="437">
        <v>2009</v>
      </c>
      <c r="D143" s="457" t="s">
        <v>338</v>
      </c>
      <c r="E143" s="437" t="s">
        <v>133</v>
      </c>
      <c r="F143" s="437" t="s">
        <v>144</v>
      </c>
      <c r="G143" s="91" t="s">
        <v>213</v>
      </c>
      <c r="H143" s="439" t="s">
        <v>92</v>
      </c>
      <c r="I143" s="455">
        <v>80</v>
      </c>
      <c r="J143" s="455">
        <v>2543</v>
      </c>
      <c r="K143" s="94">
        <v>5.9463999999999997</v>
      </c>
      <c r="L143" s="95">
        <f>500000*5.9464</f>
        <v>2973200</v>
      </c>
      <c r="M143" s="99" t="s">
        <v>325</v>
      </c>
      <c r="N143" s="21"/>
    </row>
    <row r="144" spans="1:14" s="22" customFormat="1" ht="30.6" customHeight="1" x14ac:dyDescent="0.2">
      <c r="A144" s="432"/>
      <c r="B144" s="434"/>
      <c r="C144" s="438"/>
      <c r="D144" s="438"/>
      <c r="E144" s="438"/>
      <c r="F144" s="438"/>
      <c r="G144" s="91" t="s">
        <v>583</v>
      </c>
      <c r="H144" s="440"/>
      <c r="I144" s="456"/>
      <c r="J144" s="456"/>
      <c r="K144" s="94">
        <v>5.9477000000000002</v>
      </c>
      <c r="L144" s="95">
        <f>166175*K144</f>
        <v>988359.04749999999</v>
      </c>
      <c r="M144" s="99" t="s">
        <v>326</v>
      </c>
      <c r="N144" s="21"/>
    </row>
    <row r="145" spans="1:14" s="22" customFormat="1" ht="60" customHeight="1" x14ac:dyDescent="0.2">
      <c r="A145" s="226">
        <v>1721</v>
      </c>
      <c r="B145" s="424" t="s">
        <v>328</v>
      </c>
      <c r="C145" s="227">
        <v>2018</v>
      </c>
      <c r="D145" s="230" t="s">
        <v>259</v>
      </c>
      <c r="E145" s="227">
        <v>2019</v>
      </c>
      <c r="F145" s="227" t="s">
        <v>23</v>
      </c>
      <c r="G145" s="91" t="s">
        <v>329</v>
      </c>
      <c r="H145" s="243" t="s">
        <v>353</v>
      </c>
      <c r="I145" s="229">
        <v>81</v>
      </c>
      <c r="J145" s="229">
        <v>2544</v>
      </c>
      <c r="K145" s="94">
        <v>5.9840999999999998</v>
      </c>
      <c r="L145" s="95">
        <f>122670.17*K145</f>
        <v>734070.56429699995</v>
      </c>
      <c r="M145" s="99" t="s">
        <v>327</v>
      </c>
      <c r="N145" s="21"/>
    </row>
    <row r="146" spans="1:14" s="22" customFormat="1" ht="17.25" customHeight="1" x14ac:dyDescent="0.2">
      <c r="A146" s="431">
        <v>1722</v>
      </c>
      <c r="B146" s="433" t="s">
        <v>330</v>
      </c>
      <c r="C146" s="437">
        <v>2018</v>
      </c>
      <c r="D146" s="457" t="s">
        <v>259</v>
      </c>
      <c r="E146" s="437">
        <v>2019</v>
      </c>
      <c r="F146" s="437" t="s">
        <v>23</v>
      </c>
      <c r="G146" s="91" t="s">
        <v>331</v>
      </c>
      <c r="H146" s="439" t="s">
        <v>13</v>
      </c>
      <c r="I146" s="455">
        <v>82</v>
      </c>
      <c r="J146" s="455">
        <v>2545</v>
      </c>
      <c r="K146" s="94">
        <v>5.9840999999999998</v>
      </c>
      <c r="L146" s="95">
        <f>116046.17*K146</f>
        <v>694431.88589699997</v>
      </c>
      <c r="M146" s="99" t="s">
        <v>327</v>
      </c>
      <c r="N146" s="21"/>
    </row>
    <row r="147" spans="1:14" s="22" customFormat="1" ht="27.6" customHeight="1" x14ac:dyDescent="0.2">
      <c r="A147" s="432"/>
      <c r="B147" s="434"/>
      <c r="C147" s="438"/>
      <c r="D147" s="438"/>
      <c r="E147" s="438"/>
      <c r="F147" s="438"/>
      <c r="G147" s="91" t="s">
        <v>332</v>
      </c>
      <c r="H147" s="440"/>
      <c r="I147" s="456"/>
      <c r="J147" s="456"/>
      <c r="K147" s="94">
        <v>5.9840999999999998</v>
      </c>
      <c r="L147" s="95">
        <f>124858.84*K147</f>
        <v>747167.78444399999</v>
      </c>
      <c r="M147" s="99" t="s">
        <v>327</v>
      </c>
      <c r="N147" s="21"/>
    </row>
    <row r="148" spans="1:14" s="22" customFormat="1" ht="42" customHeight="1" x14ac:dyDescent="0.2">
      <c r="A148" s="226">
        <v>1723</v>
      </c>
      <c r="B148" s="424" t="s">
        <v>333</v>
      </c>
      <c r="C148" s="227">
        <v>2013</v>
      </c>
      <c r="D148" s="230" t="s">
        <v>259</v>
      </c>
      <c r="E148" s="227">
        <v>2019</v>
      </c>
      <c r="F148" s="101" t="s">
        <v>23</v>
      </c>
      <c r="G148" s="91" t="s">
        <v>334</v>
      </c>
      <c r="H148" s="228" t="s">
        <v>13</v>
      </c>
      <c r="I148" s="229">
        <v>83</v>
      </c>
      <c r="J148" s="229">
        <v>2546</v>
      </c>
      <c r="K148" s="94">
        <v>5.9840999999999998</v>
      </c>
      <c r="L148" s="95">
        <f>125643.84*K148</f>
        <v>751865.302944</v>
      </c>
      <c r="M148" s="99" t="s">
        <v>327</v>
      </c>
      <c r="N148" s="21"/>
    </row>
    <row r="149" spans="1:14" s="22" customFormat="1" ht="93" customHeight="1" x14ac:dyDescent="0.2">
      <c r="A149" s="226">
        <v>1724</v>
      </c>
      <c r="B149" s="424" t="s">
        <v>335</v>
      </c>
      <c r="C149" s="227">
        <v>2018</v>
      </c>
      <c r="D149" s="230" t="s">
        <v>259</v>
      </c>
      <c r="E149" s="227">
        <v>2019</v>
      </c>
      <c r="F149" s="101" t="s">
        <v>23</v>
      </c>
      <c r="G149" s="91" t="s">
        <v>336</v>
      </c>
      <c r="H149" s="329" t="s">
        <v>500</v>
      </c>
      <c r="I149" s="229">
        <v>84</v>
      </c>
      <c r="J149" s="229">
        <v>2547</v>
      </c>
      <c r="K149" s="94">
        <v>5.9825999999999997</v>
      </c>
      <c r="L149" s="95">
        <f>126627.84*K149</f>
        <v>757563.71558399999</v>
      </c>
      <c r="M149" s="99" t="s">
        <v>327</v>
      </c>
      <c r="N149" s="21"/>
    </row>
    <row r="150" spans="1:14" s="22" customFormat="1" ht="45.6" customHeight="1" x14ac:dyDescent="0.2">
      <c r="A150" s="226"/>
      <c r="B150" s="424" t="s">
        <v>265</v>
      </c>
      <c r="C150" s="227">
        <v>2009</v>
      </c>
      <c r="D150" s="230" t="s">
        <v>259</v>
      </c>
      <c r="E150" s="227" t="s">
        <v>45</v>
      </c>
      <c r="F150" s="101" t="s">
        <v>23</v>
      </c>
      <c r="G150" s="91" t="s">
        <v>337</v>
      </c>
      <c r="H150" s="228" t="s">
        <v>13</v>
      </c>
      <c r="I150" s="229">
        <v>85</v>
      </c>
      <c r="J150" s="229">
        <v>2548</v>
      </c>
      <c r="K150" s="94">
        <v>5.9825999999999997</v>
      </c>
      <c r="L150" s="95">
        <f>123691.84*K150</f>
        <v>739998.8019839999</v>
      </c>
      <c r="M150" s="99" t="s">
        <v>327</v>
      </c>
      <c r="N150" s="108"/>
    </row>
    <row r="151" spans="1:14" s="22" customFormat="1" ht="31.9" customHeight="1" x14ac:dyDescent="0.2">
      <c r="A151" s="292">
        <v>1725</v>
      </c>
      <c r="B151" s="424" t="s">
        <v>340</v>
      </c>
      <c r="C151" s="294">
        <v>2016</v>
      </c>
      <c r="D151" s="300" t="s">
        <v>152</v>
      </c>
      <c r="E151" s="294">
        <v>2019</v>
      </c>
      <c r="F151" s="294" t="s">
        <v>164</v>
      </c>
      <c r="G151" s="91" t="s">
        <v>341</v>
      </c>
      <c r="H151" s="295" t="s">
        <v>13</v>
      </c>
      <c r="I151" s="296">
        <v>86</v>
      </c>
      <c r="J151" s="296">
        <v>2549</v>
      </c>
      <c r="K151" s="94">
        <v>6.0126999999999997</v>
      </c>
      <c r="L151" s="95">
        <f>35000*K151</f>
        <v>210444.5</v>
      </c>
      <c r="M151" s="99" t="s">
        <v>342</v>
      </c>
      <c r="N151" s="21"/>
    </row>
    <row r="152" spans="1:14" s="22" customFormat="1" ht="85.9" customHeight="1" x14ac:dyDescent="0.2">
      <c r="A152" s="373">
        <v>1726</v>
      </c>
      <c r="B152" s="424" t="s">
        <v>417</v>
      </c>
      <c r="C152" s="374"/>
      <c r="D152" s="378" t="s">
        <v>418</v>
      </c>
      <c r="E152" s="374">
        <v>2019</v>
      </c>
      <c r="F152" s="374" t="s">
        <v>419</v>
      </c>
      <c r="G152" s="91" t="s">
        <v>420</v>
      </c>
      <c r="H152" s="375" t="s">
        <v>476</v>
      </c>
      <c r="I152" s="376">
        <v>87</v>
      </c>
      <c r="J152" s="376">
        <v>2550</v>
      </c>
      <c r="K152" s="94"/>
      <c r="L152" s="95">
        <v>1368000</v>
      </c>
      <c r="M152" s="99" t="s">
        <v>344</v>
      </c>
      <c r="N152" s="21"/>
    </row>
    <row r="153" spans="1:14" s="22" customFormat="1" ht="44.45" customHeight="1" x14ac:dyDescent="0.2">
      <c r="A153" s="373">
        <v>1727</v>
      </c>
      <c r="B153" s="424" t="s">
        <v>421</v>
      </c>
      <c r="C153" s="374">
        <v>2005</v>
      </c>
      <c r="D153" s="378" t="s">
        <v>422</v>
      </c>
      <c r="E153" s="374">
        <v>2019</v>
      </c>
      <c r="F153" s="374" t="s">
        <v>419</v>
      </c>
      <c r="G153" s="91" t="s">
        <v>420</v>
      </c>
      <c r="H153" s="375" t="s">
        <v>13</v>
      </c>
      <c r="I153" s="376">
        <v>88</v>
      </c>
      <c r="J153" s="376">
        <v>2551</v>
      </c>
      <c r="K153" s="94"/>
      <c r="L153" s="95">
        <v>1368000</v>
      </c>
      <c r="M153" s="99" t="s">
        <v>344</v>
      </c>
      <c r="N153" s="21"/>
    </row>
    <row r="154" spans="1:14" s="22" customFormat="1" ht="45" customHeight="1" x14ac:dyDescent="0.2">
      <c r="A154" s="373">
        <v>1728</v>
      </c>
      <c r="B154" s="424" t="s">
        <v>423</v>
      </c>
      <c r="C154" s="374">
        <v>2012</v>
      </c>
      <c r="D154" s="378" t="s">
        <v>424</v>
      </c>
      <c r="E154" s="374">
        <v>2019</v>
      </c>
      <c r="F154" s="374" t="s">
        <v>419</v>
      </c>
      <c r="G154" s="91" t="s">
        <v>420</v>
      </c>
      <c r="H154" s="375" t="s">
        <v>13</v>
      </c>
      <c r="I154" s="376">
        <v>89</v>
      </c>
      <c r="J154" s="376">
        <v>2552</v>
      </c>
      <c r="K154" s="94"/>
      <c r="L154" s="95">
        <v>1368000</v>
      </c>
      <c r="M154" s="99" t="s">
        <v>344</v>
      </c>
      <c r="N154" s="21"/>
    </row>
    <row r="155" spans="1:14" s="22" customFormat="1" ht="44.45" customHeight="1" x14ac:dyDescent="0.2">
      <c r="A155" s="373">
        <v>1729</v>
      </c>
      <c r="B155" s="424" t="s">
        <v>425</v>
      </c>
      <c r="C155" s="374">
        <v>2012</v>
      </c>
      <c r="D155" s="378" t="s">
        <v>426</v>
      </c>
      <c r="E155" s="374">
        <v>2019</v>
      </c>
      <c r="F155" s="374" t="s">
        <v>419</v>
      </c>
      <c r="G155" s="91" t="s">
        <v>420</v>
      </c>
      <c r="H155" s="375" t="s">
        <v>13</v>
      </c>
      <c r="I155" s="376">
        <v>90</v>
      </c>
      <c r="J155" s="376">
        <v>2553</v>
      </c>
      <c r="K155" s="94"/>
      <c r="L155" s="95">
        <v>1368000</v>
      </c>
      <c r="M155" s="99" t="s">
        <v>344</v>
      </c>
      <c r="N155" s="21"/>
    </row>
    <row r="156" spans="1:14" s="22" customFormat="1" ht="45" customHeight="1" x14ac:dyDescent="0.2">
      <c r="A156" s="373">
        <v>1730</v>
      </c>
      <c r="B156" s="424" t="s">
        <v>427</v>
      </c>
      <c r="C156" s="374">
        <v>2014</v>
      </c>
      <c r="D156" s="378" t="s">
        <v>426</v>
      </c>
      <c r="E156" s="374">
        <v>2019</v>
      </c>
      <c r="F156" s="374" t="s">
        <v>419</v>
      </c>
      <c r="G156" s="91" t="s">
        <v>420</v>
      </c>
      <c r="H156" s="375" t="s">
        <v>13</v>
      </c>
      <c r="I156" s="376">
        <v>91</v>
      </c>
      <c r="J156" s="376">
        <v>2554</v>
      </c>
      <c r="K156" s="94"/>
      <c r="L156" s="95">
        <v>1368000</v>
      </c>
      <c r="M156" s="99" t="s">
        <v>344</v>
      </c>
      <c r="N156" s="21"/>
    </row>
    <row r="157" spans="1:14" s="22" customFormat="1" ht="45.6" customHeight="1" x14ac:dyDescent="0.2">
      <c r="A157" s="234"/>
      <c r="B157" s="428" t="s">
        <v>124</v>
      </c>
      <c r="C157" s="233">
        <v>2011</v>
      </c>
      <c r="D157" s="241" t="s">
        <v>125</v>
      </c>
      <c r="E157" s="233" t="s">
        <v>45</v>
      </c>
      <c r="F157" s="233" t="s">
        <v>343</v>
      </c>
      <c r="G157" s="67" t="s">
        <v>60</v>
      </c>
      <c r="H157" s="232" t="s">
        <v>13</v>
      </c>
      <c r="I157" s="235"/>
      <c r="J157" s="235"/>
      <c r="K157" s="65">
        <v>379.6</v>
      </c>
      <c r="L157" s="66">
        <f>9000*K157</f>
        <v>3416400</v>
      </c>
      <c r="M157" s="124" t="s">
        <v>344</v>
      </c>
      <c r="N157" s="21"/>
    </row>
    <row r="158" spans="1:14" s="22" customFormat="1" ht="110.45" customHeight="1" x14ac:dyDescent="0.2">
      <c r="A158" s="276"/>
      <c r="B158" s="424" t="s">
        <v>345</v>
      </c>
      <c r="C158" s="277">
        <v>2012</v>
      </c>
      <c r="D158" s="242" t="s">
        <v>346</v>
      </c>
      <c r="E158" s="277" t="s">
        <v>45</v>
      </c>
      <c r="F158" s="277" t="s">
        <v>343</v>
      </c>
      <c r="G158" s="91" t="s">
        <v>441</v>
      </c>
      <c r="H158" s="281" t="s">
        <v>352</v>
      </c>
      <c r="I158" s="279">
        <v>92</v>
      </c>
      <c r="J158" s="279">
        <v>2555</v>
      </c>
      <c r="K158" s="94">
        <v>379.6</v>
      </c>
      <c r="L158" s="95">
        <f>19800*K158</f>
        <v>7516080</v>
      </c>
      <c r="M158" s="99" t="s">
        <v>344</v>
      </c>
      <c r="N158" s="21"/>
    </row>
    <row r="159" spans="1:14" s="22" customFormat="1" ht="25.5" customHeight="1" x14ac:dyDescent="0.2">
      <c r="A159" s="431"/>
      <c r="B159" s="433" t="s">
        <v>124</v>
      </c>
      <c r="C159" s="437">
        <v>2011</v>
      </c>
      <c r="D159" s="457" t="s">
        <v>125</v>
      </c>
      <c r="E159" s="437" t="s">
        <v>45</v>
      </c>
      <c r="F159" s="437" t="s">
        <v>343</v>
      </c>
      <c r="G159" s="91" t="s">
        <v>90</v>
      </c>
      <c r="H159" s="439" t="s">
        <v>92</v>
      </c>
      <c r="I159" s="455">
        <v>93</v>
      </c>
      <c r="J159" s="455">
        <v>2556</v>
      </c>
      <c r="K159" s="94">
        <v>382.3</v>
      </c>
      <c r="L159" s="95">
        <f>5000*K159</f>
        <v>1911500</v>
      </c>
      <c r="M159" s="99" t="s">
        <v>344</v>
      </c>
      <c r="N159" s="21"/>
    </row>
    <row r="160" spans="1:14" s="22" customFormat="1" ht="25.9" customHeight="1" x14ac:dyDescent="0.2">
      <c r="A160" s="432"/>
      <c r="B160" s="434"/>
      <c r="C160" s="438"/>
      <c r="D160" s="458"/>
      <c r="E160" s="438"/>
      <c r="F160" s="438"/>
      <c r="G160" s="91" t="s">
        <v>150</v>
      </c>
      <c r="H160" s="440"/>
      <c r="I160" s="456"/>
      <c r="J160" s="456"/>
      <c r="K160" s="94">
        <v>381.3</v>
      </c>
      <c r="L160" s="95">
        <f>3800*K160</f>
        <v>1448940</v>
      </c>
      <c r="M160" s="99" t="s">
        <v>347</v>
      </c>
      <c r="N160" s="21"/>
    </row>
    <row r="161" spans="1:14" s="22" customFormat="1" ht="72.599999999999994" customHeight="1" x14ac:dyDescent="0.2">
      <c r="A161" s="236">
        <v>1731</v>
      </c>
      <c r="B161" s="424" t="s">
        <v>348</v>
      </c>
      <c r="C161" s="237">
        <v>2016</v>
      </c>
      <c r="D161" s="242" t="s">
        <v>25</v>
      </c>
      <c r="E161" s="237">
        <v>2019</v>
      </c>
      <c r="F161" s="259" t="s">
        <v>114</v>
      </c>
      <c r="G161" s="91" t="s">
        <v>350</v>
      </c>
      <c r="H161" s="238" t="s">
        <v>75</v>
      </c>
      <c r="I161" s="239">
        <v>94</v>
      </c>
      <c r="J161" s="239">
        <v>2557</v>
      </c>
      <c r="K161" s="94"/>
      <c r="L161" s="95">
        <v>119650</v>
      </c>
      <c r="M161" s="99" t="s">
        <v>347</v>
      </c>
      <c r="N161" s="21"/>
    </row>
    <row r="162" spans="1:14" s="22" customFormat="1" ht="73.900000000000006" customHeight="1" x14ac:dyDescent="0.2">
      <c r="A162" s="236">
        <v>1732</v>
      </c>
      <c r="B162" s="424" t="s">
        <v>349</v>
      </c>
      <c r="C162" s="237">
        <v>2016</v>
      </c>
      <c r="D162" s="242" t="s">
        <v>25</v>
      </c>
      <c r="E162" s="237">
        <v>2019</v>
      </c>
      <c r="F162" s="237" t="s">
        <v>114</v>
      </c>
      <c r="G162" s="91" t="s">
        <v>350</v>
      </c>
      <c r="H162" s="238" t="s">
        <v>75</v>
      </c>
      <c r="I162" s="239">
        <v>95</v>
      </c>
      <c r="J162" s="239">
        <v>2558</v>
      </c>
      <c r="K162" s="94"/>
      <c r="L162" s="95">
        <v>119650</v>
      </c>
      <c r="M162" s="99" t="s">
        <v>347</v>
      </c>
      <c r="N162" s="21"/>
    </row>
    <row r="163" spans="1:14" s="22" customFormat="1" ht="69.599999999999994" customHeight="1" x14ac:dyDescent="0.2">
      <c r="A163" s="253"/>
      <c r="B163" s="424" t="s">
        <v>354</v>
      </c>
      <c r="C163" s="254">
        <v>2011</v>
      </c>
      <c r="D163" s="242" t="s">
        <v>25</v>
      </c>
      <c r="E163" s="254" t="s">
        <v>78</v>
      </c>
      <c r="F163" s="254" t="s">
        <v>114</v>
      </c>
      <c r="G163" s="91" t="s">
        <v>355</v>
      </c>
      <c r="H163" s="255" t="s">
        <v>75</v>
      </c>
      <c r="I163" s="256">
        <v>96</v>
      </c>
      <c r="J163" s="256">
        <v>2559</v>
      </c>
      <c r="K163" s="94"/>
      <c r="L163" s="95">
        <v>120100</v>
      </c>
      <c r="M163" s="99" t="s">
        <v>356</v>
      </c>
      <c r="N163" s="21"/>
    </row>
    <row r="164" spans="1:14" s="22" customFormat="1" ht="19.899999999999999" customHeight="1" x14ac:dyDescent="0.2">
      <c r="A164" s="292">
        <v>1733</v>
      </c>
      <c r="B164" s="424" t="s">
        <v>357</v>
      </c>
      <c r="C164" s="294">
        <v>2017</v>
      </c>
      <c r="D164" s="300" t="s">
        <v>152</v>
      </c>
      <c r="E164" s="294">
        <v>2019</v>
      </c>
      <c r="F164" s="294" t="s">
        <v>164</v>
      </c>
      <c r="G164" s="91" t="s">
        <v>341</v>
      </c>
      <c r="H164" s="295" t="s">
        <v>13</v>
      </c>
      <c r="I164" s="296">
        <v>97</v>
      </c>
      <c r="J164" s="296">
        <v>2560</v>
      </c>
      <c r="K164" s="94">
        <v>5.93</v>
      </c>
      <c r="L164" s="95">
        <f>35000*K164</f>
        <v>207550</v>
      </c>
      <c r="M164" s="99" t="s">
        <v>356</v>
      </c>
      <c r="N164" s="21"/>
    </row>
    <row r="165" spans="1:14" s="22" customFormat="1" ht="83.45" customHeight="1" x14ac:dyDescent="0.2">
      <c r="A165" s="384">
        <v>1734</v>
      </c>
      <c r="B165" s="424" t="s">
        <v>358</v>
      </c>
      <c r="C165" s="386">
        <v>2003</v>
      </c>
      <c r="D165" s="110" t="s">
        <v>359</v>
      </c>
      <c r="E165" s="386">
        <v>2019</v>
      </c>
      <c r="F165" s="386" t="s">
        <v>360</v>
      </c>
      <c r="G165" s="91" t="s">
        <v>361</v>
      </c>
      <c r="H165" s="382" t="s">
        <v>458</v>
      </c>
      <c r="I165" s="387">
        <v>98</v>
      </c>
      <c r="J165" s="387">
        <v>2561</v>
      </c>
      <c r="K165" s="94">
        <v>379.6</v>
      </c>
      <c r="L165" s="95">
        <f>5400*K165</f>
        <v>2049840.0000000002</v>
      </c>
      <c r="M165" s="99" t="s">
        <v>356</v>
      </c>
      <c r="N165" s="108"/>
    </row>
    <row r="166" spans="1:14" s="22" customFormat="1" ht="83.45" customHeight="1" x14ac:dyDescent="0.2">
      <c r="A166" s="245"/>
      <c r="B166" s="428" t="s">
        <v>171</v>
      </c>
      <c r="C166" s="260">
        <v>2017</v>
      </c>
      <c r="D166" s="248" t="s">
        <v>172</v>
      </c>
      <c r="E166" s="244" t="s">
        <v>45</v>
      </c>
      <c r="F166" s="244" t="s">
        <v>173</v>
      </c>
      <c r="G166" s="67" t="s">
        <v>362</v>
      </c>
      <c r="H166" s="246" t="s">
        <v>13</v>
      </c>
      <c r="I166" s="247">
        <v>99</v>
      </c>
      <c r="J166" s="247">
        <v>2562</v>
      </c>
      <c r="K166" s="65">
        <v>5.93</v>
      </c>
      <c r="L166" s="66">
        <f>52850*K166</f>
        <v>313400.5</v>
      </c>
      <c r="M166" s="124" t="s">
        <v>363</v>
      </c>
      <c r="N166" s="21"/>
    </row>
    <row r="167" spans="1:14" s="22" customFormat="1" ht="28.9" customHeight="1" x14ac:dyDescent="0.2">
      <c r="A167" s="245"/>
      <c r="B167" s="428" t="s">
        <v>221</v>
      </c>
      <c r="C167" s="260">
        <v>2014</v>
      </c>
      <c r="D167" s="248" t="s">
        <v>25</v>
      </c>
      <c r="E167" s="249" t="s">
        <v>89</v>
      </c>
      <c r="F167" s="249" t="s">
        <v>222</v>
      </c>
      <c r="G167" s="67" t="s">
        <v>223</v>
      </c>
      <c r="H167" s="250" t="s">
        <v>170</v>
      </c>
      <c r="I167" s="247"/>
      <c r="J167" s="247"/>
      <c r="K167" s="65">
        <v>56.65</v>
      </c>
      <c r="L167" s="66">
        <f>6390.47*K167</f>
        <v>362020.12550000002</v>
      </c>
      <c r="M167" s="124" t="s">
        <v>364</v>
      </c>
      <c r="N167" s="21"/>
    </row>
    <row r="168" spans="1:14" s="22" customFormat="1" ht="128.44999999999999" customHeight="1" x14ac:dyDescent="0.2">
      <c r="A168" s="245">
        <v>1735</v>
      </c>
      <c r="B168" s="428" t="s">
        <v>365</v>
      </c>
      <c r="C168" s="260">
        <v>2016</v>
      </c>
      <c r="D168" s="87" t="s">
        <v>366</v>
      </c>
      <c r="E168" s="244">
        <v>2019</v>
      </c>
      <c r="F168" s="244" t="s">
        <v>70</v>
      </c>
      <c r="G168" s="67" t="s">
        <v>367</v>
      </c>
      <c r="H168" s="246" t="s">
        <v>13</v>
      </c>
      <c r="I168" s="247">
        <v>100</v>
      </c>
      <c r="J168" s="247">
        <v>2563</v>
      </c>
      <c r="K168" s="65">
        <v>5.93</v>
      </c>
      <c r="L168" s="66">
        <f>29990*K168</f>
        <v>177840.69999999998</v>
      </c>
      <c r="M168" s="124" t="s">
        <v>364</v>
      </c>
      <c r="N168" s="21"/>
    </row>
    <row r="169" spans="1:14" s="22" customFormat="1" ht="55.9" customHeight="1" x14ac:dyDescent="0.2">
      <c r="A169" s="276">
        <v>1736</v>
      </c>
      <c r="B169" s="424" t="s">
        <v>368</v>
      </c>
      <c r="C169" s="280">
        <v>2015</v>
      </c>
      <c r="D169" s="110" t="s">
        <v>369</v>
      </c>
      <c r="E169" s="277">
        <v>2019</v>
      </c>
      <c r="F169" s="364" t="s">
        <v>161</v>
      </c>
      <c r="G169" s="91" t="s">
        <v>176</v>
      </c>
      <c r="H169" s="278" t="s">
        <v>13</v>
      </c>
      <c r="I169" s="279">
        <v>101</v>
      </c>
      <c r="J169" s="279">
        <v>2564</v>
      </c>
      <c r="K169" s="94">
        <v>5.9931999999999999</v>
      </c>
      <c r="L169" s="95">
        <f>400000*K169</f>
        <v>2397280</v>
      </c>
      <c r="M169" s="99" t="s">
        <v>364</v>
      </c>
      <c r="N169" s="108"/>
    </row>
    <row r="170" spans="1:14" s="22" customFormat="1" ht="84.6" customHeight="1" x14ac:dyDescent="0.2">
      <c r="A170" s="320">
        <v>1737</v>
      </c>
      <c r="B170" s="424" t="s">
        <v>371</v>
      </c>
      <c r="C170" s="321">
        <v>2015</v>
      </c>
      <c r="D170" s="110" t="s">
        <v>372</v>
      </c>
      <c r="E170" s="322">
        <v>2019</v>
      </c>
      <c r="F170" s="322" t="s">
        <v>270</v>
      </c>
      <c r="G170" s="91" t="s">
        <v>373</v>
      </c>
      <c r="H170" s="323" t="s">
        <v>92</v>
      </c>
      <c r="I170" s="324">
        <v>102</v>
      </c>
      <c r="J170" s="324">
        <v>2565</v>
      </c>
      <c r="K170" s="94">
        <v>5.9320000000000004</v>
      </c>
      <c r="L170" s="95">
        <f>92960*K170</f>
        <v>551438.72000000009</v>
      </c>
      <c r="M170" s="99" t="s">
        <v>374</v>
      </c>
      <c r="N170" s="108"/>
    </row>
    <row r="171" spans="1:14" s="22" customFormat="1" ht="95.25" customHeight="1" x14ac:dyDescent="0.2">
      <c r="A171" s="263"/>
      <c r="B171" s="424" t="s">
        <v>375</v>
      </c>
      <c r="C171" s="262">
        <v>2010</v>
      </c>
      <c r="D171" s="110" t="s">
        <v>376</v>
      </c>
      <c r="E171" s="264" t="s">
        <v>131</v>
      </c>
      <c r="F171" s="364" t="s">
        <v>377</v>
      </c>
      <c r="G171" s="91" t="s">
        <v>378</v>
      </c>
      <c r="H171" s="278" t="s">
        <v>443</v>
      </c>
      <c r="I171" s="266">
        <v>103</v>
      </c>
      <c r="J171" s="266">
        <v>2566</v>
      </c>
      <c r="K171" s="94">
        <v>6.0185000000000004</v>
      </c>
      <c r="L171" s="95">
        <f>85320*K171</f>
        <v>513498.42000000004</v>
      </c>
      <c r="M171" s="99" t="s">
        <v>379</v>
      </c>
      <c r="N171" s="108"/>
    </row>
    <row r="172" spans="1:14" s="22" customFormat="1" ht="70.150000000000006" customHeight="1" x14ac:dyDescent="0.2">
      <c r="A172" s="263">
        <v>1738</v>
      </c>
      <c r="B172" s="424" t="s">
        <v>380</v>
      </c>
      <c r="C172" s="262">
        <v>2016</v>
      </c>
      <c r="D172" s="262" t="s">
        <v>25</v>
      </c>
      <c r="E172" s="264">
        <v>2019</v>
      </c>
      <c r="F172" s="264" t="s">
        <v>114</v>
      </c>
      <c r="G172" s="91" t="s">
        <v>381</v>
      </c>
      <c r="H172" s="265" t="s">
        <v>75</v>
      </c>
      <c r="I172" s="266">
        <v>104</v>
      </c>
      <c r="J172" s="266">
        <v>2567</v>
      </c>
      <c r="K172" s="94"/>
      <c r="L172" s="95">
        <v>103700</v>
      </c>
      <c r="M172" s="99" t="s">
        <v>379</v>
      </c>
      <c r="N172" s="108"/>
    </row>
    <row r="173" spans="1:14" s="22" customFormat="1" ht="30.6" customHeight="1" x14ac:dyDescent="0.2">
      <c r="A173" s="431">
        <v>1739</v>
      </c>
      <c r="B173" s="433" t="s">
        <v>382</v>
      </c>
      <c r="C173" s="433">
        <v>2012</v>
      </c>
      <c r="D173" s="433" t="s">
        <v>383</v>
      </c>
      <c r="E173" s="437">
        <v>2019</v>
      </c>
      <c r="F173" s="437" t="s">
        <v>22</v>
      </c>
      <c r="G173" s="91" t="s">
        <v>384</v>
      </c>
      <c r="H173" s="361" t="s">
        <v>92</v>
      </c>
      <c r="I173" s="455">
        <v>105</v>
      </c>
      <c r="J173" s="455">
        <v>2568</v>
      </c>
      <c r="K173" s="94">
        <v>381.4</v>
      </c>
      <c r="L173" s="95">
        <f>6400*K173</f>
        <v>2440960</v>
      </c>
      <c r="M173" s="99" t="s">
        <v>385</v>
      </c>
      <c r="N173" s="108"/>
    </row>
    <row r="174" spans="1:14" s="22" customFormat="1" ht="46.9" customHeight="1" x14ac:dyDescent="0.2">
      <c r="A174" s="432"/>
      <c r="B174" s="438"/>
      <c r="C174" s="438"/>
      <c r="D174" s="438"/>
      <c r="E174" s="438"/>
      <c r="F174" s="438"/>
      <c r="G174" s="91" t="s">
        <v>519</v>
      </c>
      <c r="H174" s="389" t="s">
        <v>561</v>
      </c>
      <c r="I174" s="456"/>
      <c r="J174" s="456"/>
      <c r="K174" s="94">
        <v>379.8</v>
      </c>
      <c r="L174" s="95">
        <f>8600*K174</f>
        <v>3266280</v>
      </c>
      <c r="M174" s="99" t="s">
        <v>520</v>
      </c>
      <c r="N174" s="108"/>
    </row>
    <row r="175" spans="1:14" s="22" customFormat="1" ht="33" customHeight="1" x14ac:dyDescent="0.2">
      <c r="A175" s="431">
        <v>1740</v>
      </c>
      <c r="B175" s="433" t="s">
        <v>386</v>
      </c>
      <c r="C175" s="433">
        <v>2008</v>
      </c>
      <c r="D175" s="433" t="s">
        <v>387</v>
      </c>
      <c r="E175" s="437">
        <v>2019</v>
      </c>
      <c r="F175" s="437" t="s">
        <v>388</v>
      </c>
      <c r="G175" s="91" t="s">
        <v>532</v>
      </c>
      <c r="H175" s="439" t="s">
        <v>92</v>
      </c>
      <c r="I175" s="455">
        <v>106</v>
      </c>
      <c r="J175" s="455">
        <v>2569</v>
      </c>
      <c r="K175" s="94">
        <v>5.9554</v>
      </c>
      <c r="L175" s="95">
        <f>72450*K175</f>
        <v>431468.73</v>
      </c>
      <c r="M175" s="99" t="s">
        <v>385</v>
      </c>
      <c r="N175" s="108"/>
    </row>
    <row r="176" spans="1:14" s="22" customFormat="1" ht="52.9" customHeight="1" x14ac:dyDescent="0.2">
      <c r="A176" s="432"/>
      <c r="B176" s="438"/>
      <c r="C176" s="438"/>
      <c r="D176" s="438"/>
      <c r="E176" s="438"/>
      <c r="F176" s="438"/>
      <c r="G176" s="91" t="s">
        <v>432</v>
      </c>
      <c r="H176" s="440"/>
      <c r="I176" s="456"/>
      <c r="J176" s="456"/>
      <c r="K176" s="94">
        <v>5.9554</v>
      </c>
      <c r="L176" s="95">
        <f>174100*K176</f>
        <v>1036835.14</v>
      </c>
      <c r="M176" s="99" t="s">
        <v>433</v>
      </c>
      <c r="N176" s="108"/>
    </row>
    <row r="177" spans="1:14" s="22" customFormat="1" ht="60" customHeight="1" x14ac:dyDescent="0.2">
      <c r="A177" s="284"/>
      <c r="B177" s="424" t="s">
        <v>299</v>
      </c>
      <c r="C177" s="286">
        <v>2018</v>
      </c>
      <c r="D177" s="286" t="s">
        <v>63</v>
      </c>
      <c r="E177" s="285" t="s">
        <v>45</v>
      </c>
      <c r="F177" s="285" t="s">
        <v>23</v>
      </c>
      <c r="G177" s="91" t="s">
        <v>336</v>
      </c>
      <c r="H177" s="302" t="s">
        <v>459</v>
      </c>
      <c r="I177" s="283">
        <v>107</v>
      </c>
      <c r="J177" s="283">
        <v>2570</v>
      </c>
      <c r="K177" s="94">
        <v>6.0117000000000003</v>
      </c>
      <c r="L177" s="95">
        <f>126627.84*K177</f>
        <v>761248.58572800003</v>
      </c>
      <c r="M177" s="99" t="s">
        <v>385</v>
      </c>
      <c r="N177" s="108"/>
    </row>
    <row r="178" spans="1:14" s="22" customFormat="1" ht="46.9" customHeight="1" x14ac:dyDescent="0.2">
      <c r="A178" s="284"/>
      <c r="B178" s="424" t="s">
        <v>428</v>
      </c>
      <c r="C178" s="286">
        <v>2014</v>
      </c>
      <c r="D178" s="286" t="s">
        <v>63</v>
      </c>
      <c r="E178" s="285" t="s">
        <v>45</v>
      </c>
      <c r="F178" s="285" t="s">
        <v>23</v>
      </c>
      <c r="G178" s="91" t="s">
        <v>429</v>
      </c>
      <c r="H178" s="282" t="s">
        <v>13</v>
      </c>
      <c r="I178" s="283">
        <v>108</v>
      </c>
      <c r="J178" s="283">
        <v>2571</v>
      </c>
      <c r="K178" s="94">
        <v>6.0117000000000003</v>
      </c>
      <c r="L178" s="95">
        <f>23547*K178</f>
        <v>141557.4999</v>
      </c>
      <c r="M178" s="99" t="s">
        <v>385</v>
      </c>
      <c r="N178" s="108"/>
    </row>
    <row r="179" spans="1:14" s="22" customFormat="1" ht="46.15" customHeight="1" x14ac:dyDescent="0.2">
      <c r="A179" s="284">
        <v>1741</v>
      </c>
      <c r="B179" s="424" t="s">
        <v>430</v>
      </c>
      <c r="C179" s="286">
        <v>2017</v>
      </c>
      <c r="D179" s="311" t="s">
        <v>63</v>
      </c>
      <c r="E179" s="285">
        <v>2019</v>
      </c>
      <c r="F179" s="312" t="s">
        <v>23</v>
      </c>
      <c r="G179" s="91" t="s">
        <v>431</v>
      </c>
      <c r="H179" s="282" t="s">
        <v>13</v>
      </c>
      <c r="I179" s="313"/>
      <c r="J179" s="313"/>
      <c r="K179" s="94">
        <v>6.0117000000000003</v>
      </c>
      <c r="L179" s="95">
        <f>15066*K179</f>
        <v>90572.272200000007</v>
      </c>
      <c r="M179" s="99" t="s">
        <v>385</v>
      </c>
      <c r="N179" s="108"/>
    </row>
    <row r="180" spans="1:14" s="22" customFormat="1" ht="84.6" customHeight="1" x14ac:dyDescent="0.2">
      <c r="A180" s="284"/>
      <c r="B180" s="424" t="s">
        <v>434</v>
      </c>
      <c r="C180" s="286">
        <v>2015</v>
      </c>
      <c r="D180" s="286" t="s">
        <v>63</v>
      </c>
      <c r="E180" s="285" t="s">
        <v>133</v>
      </c>
      <c r="F180" s="285" t="s">
        <v>23</v>
      </c>
      <c r="G180" s="91" t="s">
        <v>435</v>
      </c>
      <c r="H180" s="329" t="s">
        <v>504</v>
      </c>
      <c r="I180" s="283">
        <v>109</v>
      </c>
      <c r="J180" s="283">
        <v>2572</v>
      </c>
      <c r="K180" s="94">
        <v>6.0117000000000003</v>
      </c>
      <c r="L180" s="95">
        <f>111754.17*K180</f>
        <v>671832.54378900002</v>
      </c>
      <c r="M180" s="99" t="s">
        <v>436</v>
      </c>
      <c r="N180" s="108"/>
    </row>
    <row r="181" spans="1:14" s="22" customFormat="1" ht="34.15" customHeight="1" x14ac:dyDescent="0.2">
      <c r="A181" s="373"/>
      <c r="B181" s="424" t="s">
        <v>437</v>
      </c>
      <c r="C181" s="377">
        <v>2014</v>
      </c>
      <c r="D181" s="377" t="s">
        <v>438</v>
      </c>
      <c r="E181" s="374" t="s">
        <v>131</v>
      </c>
      <c r="F181" s="374" t="s">
        <v>440</v>
      </c>
      <c r="G181" s="91" t="s">
        <v>439</v>
      </c>
      <c r="H181" s="375" t="s">
        <v>13</v>
      </c>
      <c r="I181" s="376">
        <v>110</v>
      </c>
      <c r="J181" s="376">
        <v>2573</v>
      </c>
      <c r="K181" s="94">
        <v>6.0155000000000003</v>
      </c>
      <c r="L181" s="95">
        <f>63600*K181</f>
        <v>382585.80000000005</v>
      </c>
      <c r="M181" s="99" t="s">
        <v>436</v>
      </c>
      <c r="N181" s="108"/>
    </row>
    <row r="182" spans="1:14" s="22" customFormat="1" ht="60" customHeight="1" x14ac:dyDescent="0.2">
      <c r="A182" s="291">
        <v>1742</v>
      </c>
      <c r="B182" s="428" t="s">
        <v>444</v>
      </c>
      <c r="C182" s="288">
        <v>2007</v>
      </c>
      <c r="D182" s="288" t="s">
        <v>447</v>
      </c>
      <c r="E182" s="289">
        <v>2019</v>
      </c>
      <c r="F182" s="289" t="s">
        <v>448</v>
      </c>
      <c r="G182" s="67" t="s">
        <v>449</v>
      </c>
      <c r="H182" s="303" t="s">
        <v>458</v>
      </c>
      <c r="I182" s="290">
        <v>111</v>
      </c>
      <c r="J182" s="290">
        <v>2574</v>
      </c>
      <c r="K182" s="65">
        <v>6.0449000000000002</v>
      </c>
      <c r="L182" s="66">
        <f>72500*K182</f>
        <v>438255.25</v>
      </c>
      <c r="M182" s="124" t="s">
        <v>450</v>
      </c>
      <c r="N182" s="108"/>
    </row>
    <row r="183" spans="1:14" s="22" customFormat="1" ht="47.45" customHeight="1" x14ac:dyDescent="0.2">
      <c r="A183" s="291"/>
      <c r="B183" s="428" t="s">
        <v>406</v>
      </c>
      <c r="C183" s="288">
        <v>2001</v>
      </c>
      <c r="D183" s="288" t="s">
        <v>407</v>
      </c>
      <c r="E183" s="289" t="s">
        <v>89</v>
      </c>
      <c r="F183" s="289" t="s">
        <v>55</v>
      </c>
      <c r="G183" s="67" t="s">
        <v>445</v>
      </c>
      <c r="H183" s="287" t="s">
        <v>13</v>
      </c>
      <c r="I183" s="290"/>
      <c r="J183" s="290"/>
      <c r="K183" s="65"/>
      <c r="L183" s="66">
        <v>636332.24</v>
      </c>
      <c r="M183" s="124" t="s">
        <v>446</v>
      </c>
      <c r="N183" s="108"/>
    </row>
    <row r="184" spans="1:14" s="22" customFormat="1" ht="56.45" customHeight="1" x14ac:dyDescent="0.2">
      <c r="A184" s="431">
        <v>1743</v>
      </c>
      <c r="B184" s="491" t="s">
        <v>451</v>
      </c>
      <c r="C184" s="433">
        <v>2016</v>
      </c>
      <c r="D184" s="435" t="s">
        <v>452</v>
      </c>
      <c r="E184" s="437">
        <v>2019</v>
      </c>
      <c r="F184" s="437" t="s">
        <v>453</v>
      </c>
      <c r="G184" s="91" t="s">
        <v>454</v>
      </c>
      <c r="H184" s="439" t="s">
        <v>13</v>
      </c>
      <c r="I184" s="455">
        <v>112</v>
      </c>
      <c r="J184" s="455">
        <v>2575</v>
      </c>
      <c r="K184" s="94">
        <v>6.0255999999999998</v>
      </c>
      <c r="L184" s="95">
        <f>162191*K184</f>
        <v>977298.08959999995</v>
      </c>
      <c r="M184" s="99" t="s">
        <v>446</v>
      </c>
      <c r="N184" s="108"/>
    </row>
    <row r="185" spans="1:14" s="22" customFormat="1" ht="21" customHeight="1" x14ac:dyDescent="0.2">
      <c r="A185" s="432"/>
      <c r="B185" s="492"/>
      <c r="C185" s="438"/>
      <c r="D185" s="436"/>
      <c r="E185" s="438"/>
      <c r="F185" s="438"/>
      <c r="G185" s="91" t="s">
        <v>497</v>
      </c>
      <c r="H185" s="440"/>
      <c r="I185" s="456"/>
      <c r="J185" s="456"/>
      <c r="K185" s="94">
        <v>6.1837</v>
      </c>
      <c r="L185" s="95">
        <f>287401*K185</f>
        <v>1777201.5637000001</v>
      </c>
      <c r="M185" s="99" t="s">
        <v>492</v>
      </c>
      <c r="N185" s="108"/>
    </row>
    <row r="186" spans="1:14" s="22" customFormat="1" ht="45" customHeight="1" x14ac:dyDescent="0.2">
      <c r="A186" s="342"/>
      <c r="B186" s="424" t="s">
        <v>455</v>
      </c>
      <c r="C186" s="343">
        <v>2013</v>
      </c>
      <c r="D186" s="360" t="s">
        <v>456</v>
      </c>
      <c r="E186" s="344" t="s">
        <v>131</v>
      </c>
      <c r="F186" s="344" t="s">
        <v>317</v>
      </c>
      <c r="G186" s="91" t="s">
        <v>512</v>
      </c>
      <c r="H186" s="345" t="s">
        <v>13</v>
      </c>
      <c r="I186" s="346">
        <v>113</v>
      </c>
      <c r="J186" s="346">
        <v>2576</v>
      </c>
      <c r="K186" s="94">
        <v>6.0778999999999996</v>
      </c>
      <c r="L186" s="95">
        <f>59820*K186</f>
        <v>363579.978</v>
      </c>
      <c r="M186" s="99" t="s">
        <v>457</v>
      </c>
      <c r="N186" s="108"/>
    </row>
    <row r="187" spans="1:14" s="22" customFormat="1" ht="86.45" customHeight="1" x14ac:dyDescent="0.2">
      <c r="A187" s="405"/>
      <c r="B187" s="424" t="s">
        <v>460</v>
      </c>
      <c r="C187" s="408">
        <v>2013</v>
      </c>
      <c r="D187" s="110" t="s">
        <v>461</v>
      </c>
      <c r="E187" s="406" t="s">
        <v>45</v>
      </c>
      <c r="F187" s="406" t="s">
        <v>317</v>
      </c>
      <c r="G187" s="91" t="s">
        <v>582</v>
      </c>
      <c r="H187" s="407" t="s">
        <v>477</v>
      </c>
      <c r="I187" s="409">
        <v>114</v>
      </c>
      <c r="J187" s="409">
        <v>2577</v>
      </c>
      <c r="K187" s="94">
        <v>6.0721999999999996</v>
      </c>
      <c r="L187" s="95">
        <f>260840*K187</f>
        <v>1583872.6479999998</v>
      </c>
      <c r="M187" s="99" t="s">
        <v>462</v>
      </c>
      <c r="N187" s="108"/>
    </row>
    <row r="188" spans="1:14" s="22" customFormat="1" ht="16.5" customHeight="1" x14ac:dyDescent="0.2">
      <c r="A188" s="441"/>
      <c r="B188" s="444" t="s">
        <v>463</v>
      </c>
      <c r="C188" s="444">
        <v>2009</v>
      </c>
      <c r="D188" s="447" t="s">
        <v>464</v>
      </c>
      <c r="E188" s="450" t="s">
        <v>133</v>
      </c>
      <c r="F188" s="450" t="s">
        <v>465</v>
      </c>
      <c r="G188" s="67" t="s">
        <v>60</v>
      </c>
      <c r="H188" s="452" t="s">
        <v>13</v>
      </c>
      <c r="I188" s="489">
        <v>115</v>
      </c>
      <c r="J188" s="489">
        <v>2578</v>
      </c>
      <c r="K188" s="65">
        <v>379.6</v>
      </c>
      <c r="L188" s="66">
        <f>9000*K188</f>
        <v>3416400</v>
      </c>
      <c r="M188" s="124" t="s">
        <v>466</v>
      </c>
      <c r="N188" s="108"/>
    </row>
    <row r="189" spans="1:14" s="22" customFormat="1" ht="18.75" customHeight="1" x14ac:dyDescent="0.2">
      <c r="A189" s="442"/>
      <c r="B189" s="445"/>
      <c r="C189" s="445"/>
      <c r="D189" s="448"/>
      <c r="E189" s="451"/>
      <c r="F189" s="451"/>
      <c r="G189" s="67" t="s">
        <v>60</v>
      </c>
      <c r="H189" s="453"/>
      <c r="I189" s="490"/>
      <c r="J189" s="490"/>
      <c r="K189" s="65">
        <v>379.6</v>
      </c>
      <c r="L189" s="66">
        <f>9000*K189</f>
        <v>3416400</v>
      </c>
      <c r="M189" s="124" t="s">
        <v>474</v>
      </c>
      <c r="N189" s="108"/>
    </row>
    <row r="190" spans="1:14" s="22" customFormat="1" ht="18.75" customHeight="1" x14ac:dyDescent="0.2">
      <c r="A190" s="443"/>
      <c r="B190" s="446"/>
      <c r="C190" s="446"/>
      <c r="D190" s="449"/>
      <c r="E190" s="446"/>
      <c r="F190" s="446"/>
      <c r="G190" s="67" t="s">
        <v>60</v>
      </c>
      <c r="H190" s="454"/>
      <c r="I190" s="488"/>
      <c r="J190" s="488"/>
      <c r="K190" s="65">
        <v>379.6</v>
      </c>
      <c r="L190" s="66">
        <f>9000*K190</f>
        <v>3416400</v>
      </c>
      <c r="M190" s="124" t="s">
        <v>483</v>
      </c>
      <c r="N190" s="108"/>
    </row>
    <row r="191" spans="1:14" s="22" customFormat="1" ht="61.15" customHeight="1" x14ac:dyDescent="0.2">
      <c r="A191" s="306"/>
      <c r="B191" s="428" t="s">
        <v>27</v>
      </c>
      <c r="C191" s="307">
        <v>2014</v>
      </c>
      <c r="D191" s="310" t="s">
        <v>28</v>
      </c>
      <c r="E191" s="305" t="s">
        <v>467</v>
      </c>
      <c r="F191" s="305" t="s">
        <v>208</v>
      </c>
      <c r="G191" s="67" t="s">
        <v>468</v>
      </c>
      <c r="H191" s="308" t="s">
        <v>13</v>
      </c>
      <c r="I191" s="309">
        <v>116</v>
      </c>
      <c r="J191" s="309">
        <v>2579</v>
      </c>
      <c r="K191" s="65">
        <v>6.1193</v>
      </c>
      <c r="L191" s="66">
        <f>28763*K191</f>
        <v>176009.4259</v>
      </c>
      <c r="M191" s="124" t="s">
        <v>469</v>
      </c>
      <c r="N191" s="108"/>
    </row>
    <row r="192" spans="1:14" s="22" customFormat="1" ht="61.9" customHeight="1" x14ac:dyDescent="0.2">
      <c r="A192" s="362"/>
      <c r="B192" s="424" t="s">
        <v>29</v>
      </c>
      <c r="C192" s="363">
        <v>2006</v>
      </c>
      <c r="D192" s="372" t="s">
        <v>30</v>
      </c>
      <c r="E192" s="364" t="s">
        <v>186</v>
      </c>
      <c r="F192" s="364" t="s">
        <v>270</v>
      </c>
      <c r="G192" s="91" t="s">
        <v>470</v>
      </c>
      <c r="H192" s="365" t="s">
        <v>475</v>
      </c>
      <c r="I192" s="366">
        <v>117</v>
      </c>
      <c r="J192" s="366">
        <v>2580</v>
      </c>
      <c r="K192" s="94">
        <v>6.1177999999999999</v>
      </c>
      <c r="L192" s="95">
        <f>87985*K192</f>
        <v>538274.63300000003</v>
      </c>
      <c r="M192" s="99" t="s">
        <v>469</v>
      </c>
      <c r="N192" s="108"/>
    </row>
    <row r="193" spans="1:14" s="22" customFormat="1" ht="70.900000000000006" customHeight="1" x14ac:dyDescent="0.2">
      <c r="A193" s="354"/>
      <c r="B193" s="424" t="s">
        <v>471</v>
      </c>
      <c r="C193" s="359">
        <v>2007</v>
      </c>
      <c r="D193" s="356" t="s">
        <v>25</v>
      </c>
      <c r="E193" s="355" t="s">
        <v>472</v>
      </c>
      <c r="F193" s="355" t="s">
        <v>114</v>
      </c>
      <c r="G193" s="91" t="s">
        <v>473</v>
      </c>
      <c r="H193" s="357" t="s">
        <v>75</v>
      </c>
      <c r="I193" s="358">
        <v>118</v>
      </c>
      <c r="J193" s="358">
        <v>2581</v>
      </c>
      <c r="K193" s="94"/>
      <c r="L193" s="95">
        <v>105100</v>
      </c>
      <c r="M193" s="99" t="s">
        <v>469</v>
      </c>
      <c r="N193" s="108"/>
    </row>
    <row r="194" spans="1:14" s="22" customFormat="1" ht="70.900000000000006" customHeight="1" x14ac:dyDescent="0.2">
      <c r="A194" s="318">
        <v>1744</v>
      </c>
      <c r="B194" s="428" t="s">
        <v>480</v>
      </c>
      <c r="C194" s="315">
        <v>2013</v>
      </c>
      <c r="D194" s="87" t="s">
        <v>481</v>
      </c>
      <c r="E194" s="316">
        <v>2019</v>
      </c>
      <c r="F194" s="316" t="s">
        <v>164</v>
      </c>
      <c r="G194" s="67" t="s">
        <v>482</v>
      </c>
      <c r="H194" s="328" t="s">
        <v>507</v>
      </c>
      <c r="I194" s="317">
        <v>119</v>
      </c>
      <c r="J194" s="317">
        <v>2582</v>
      </c>
      <c r="K194" s="65">
        <v>6.0941000000000001</v>
      </c>
      <c r="L194" s="66">
        <f>109500*K194</f>
        <v>667303.94999999995</v>
      </c>
      <c r="M194" s="124" t="s">
        <v>474</v>
      </c>
      <c r="N194" s="108"/>
    </row>
    <row r="195" spans="1:14" s="22" customFormat="1" ht="99.6" customHeight="1" x14ac:dyDescent="0.2">
      <c r="A195" s="318">
        <v>1745</v>
      </c>
      <c r="B195" s="428" t="s">
        <v>484</v>
      </c>
      <c r="C195" s="315">
        <v>2017</v>
      </c>
      <c r="D195" s="87" t="s">
        <v>485</v>
      </c>
      <c r="E195" s="316">
        <v>2019</v>
      </c>
      <c r="F195" s="316" t="s">
        <v>164</v>
      </c>
      <c r="G195" s="67" t="s">
        <v>486</v>
      </c>
      <c r="H195" s="314" t="s">
        <v>13</v>
      </c>
      <c r="I195" s="317">
        <v>120</v>
      </c>
      <c r="J195" s="317">
        <v>2583</v>
      </c>
      <c r="K195" s="65">
        <v>6.1318999999999999</v>
      </c>
      <c r="L195" s="66">
        <f>35000*K195</f>
        <v>214616.5</v>
      </c>
      <c r="M195" s="124" t="s">
        <v>483</v>
      </c>
      <c r="N195" s="108"/>
    </row>
    <row r="196" spans="1:14" s="22" customFormat="1" ht="58.9" customHeight="1" x14ac:dyDescent="0.2">
      <c r="A196" s="320"/>
      <c r="B196" s="424" t="s">
        <v>375</v>
      </c>
      <c r="C196" s="321">
        <v>2010</v>
      </c>
      <c r="D196" s="331" t="s">
        <v>376</v>
      </c>
      <c r="E196" s="322" t="s">
        <v>89</v>
      </c>
      <c r="F196" s="322" t="s">
        <v>377</v>
      </c>
      <c r="G196" s="91" t="s">
        <v>487</v>
      </c>
      <c r="H196" s="323" t="s">
        <v>13</v>
      </c>
      <c r="I196" s="324"/>
      <c r="J196" s="324"/>
      <c r="K196" s="94">
        <v>6.1197999999999997</v>
      </c>
      <c r="L196" s="95">
        <f>10000*K196</f>
        <v>61198</v>
      </c>
      <c r="M196" s="99" t="s">
        <v>483</v>
      </c>
      <c r="N196" s="108"/>
    </row>
    <row r="197" spans="1:14" s="22" customFormat="1" ht="124.15" customHeight="1" x14ac:dyDescent="0.2">
      <c r="A197" s="384"/>
      <c r="B197" s="424" t="s">
        <v>365</v>
      </c>
      <c r="C197" s="385">
        <v>2016</v>
      </c>
      <c r="D197" s="390" t="s">
        <v>366</v>
      </c>
      <c r="E197" s="386" t="s">
        <v>488</v>
      </c>
      <c r="F197" s="386" t="s">
        <v>22</v>
      </c>
      <c r="G197" s="91" t="s">
        <v>217</v>
      </c>
      <c r="H197" s="382" t="s">
        <v>506</v>
      </c>
      <c r="I197" s="387">
        <v>121</v>
      </c>
      <c r="J197" s="387">
        <v>2584</v>
      </c>
      <c r="K197" s="94">
        <v>379.6</v>
      </c>
      <c r="L197" s="95">
        <f>6000*K197</f>
        <v>2277600</v>
      </c>
      <c r="M197" s="99" t="s">
        <v>489</v>
      </c>
      <c r="N197" s="108"/>
    </row>
    <row r="198" spans="1:14" s="22" customFormat="1" ht="36.75" customHeight="1" x14ac:dyDescent="0.2">
      <c r="A198" s="431"/>
      <c r="B198" s="433" t="s">
        <v>490</v>
      </c>
      <c r="C198" s="433">
        <v>2007</v>
      </c>
      <c r="D198" s="433" t="s">
        <v>491</v>
      </c>
      <c r="E198" s="437" t="s">
        <v>133</v>
      </c>
      <c r="F198" s="437" t="s">
        <v>22</v>
      </c>
      <c r="G198" s="91" t="s">
        <v>60</v>
      </c>
      <c r="H198" s="439" t="s">
        <v>13</v>
      </c>
      <c r="I198" s="455">
        <v>122</v>
      </c>
      <c r="J198" s="455">
        <v>2585</v>
      </c>
      <c r="K198" s="94">
        <v>379.6</v>
      </c>
      <c r="L198" s="95">
        <f>9000*K198</f>
        <v>3416400</v>
      </c>
      <c r="M198" s="99" t="s">
        <v>489</v>
      </c>
      <c r="N198" s="108"/>
    </row>
    <row r="199" spans="1:14" s="22" customFormat="1" ht="38.450000000000003" customHeight="1" x14ac:dyDescent="0.2">
      <c r="A199" s="432"/>
      <c r="B199" s="434"/>
      <c r="C199" s="434"/>
      <c r="D199" s="438"/>
      <c r="E199" s="438"/>
      <c r="F199" s="438"/>
      <c r="G199" s="91" t="s">
        <v>304</v>
      </c>
      <c r="H199" s="440"/>
      <c r="I199" s="456"/>
      <c r="J199" s="456"/>
      <c r="K199" s="94">
        <v>379.6</v>
      </c>
      <c r="L199" s="95">
        <f>8500*K199</f>
        <v>3226600</v>
      </c>
      <c r="M199" s="99" t="s">
        <v>492</v>
      </c>
      <c r="N199" s="108"/>
    </row>
    <row r="200" spans="1:14" s="22" customFormat="1" ht="57" customHeight="1" x14ac:dyDescent="0.2">
      <c r="A200" s="320"/>
      <c r="B200" s="424" t="s">
        <v>368</v>
      </c>
      <c r="C200" s="321">
        <v>2015</v>
      </c>
      <c r="D200" s="321" t="s">
        <v>493</v>
      </c>
      <c r="E200" s="322" t="s">
        <v>89</v>
      </c>
      <c r="F200" s="322" t="s">
        <v>161</v>
      </c>
      <c r="G200" s="91" t="s">
        <v>494</v>
      </c>
      <c r="H200" s="323" t="s">
        <v>13</v>
      </c>
      <c r="I200" s="324"/>
      <c r="J200" s="324"/>
      <c r="K200" s="94">
        <v>6.2146999999999997</v>
      </c>
      <c r="L200" s="95">
        <f>53657*K200</f>
        <v>333462.15789999999</v>
      </c>
      <c r="M200" s="99" t="s">
        <v>492</v>
      </c>
      <c r="N200" s="108"/>
    </row>
    <row r="201" spans="1:14" s="22" customFormat="1" ht="49.15" customHeight="1" x14ac:dyDescent="0.2">
      <c r="A201" s="431"/>
      <c r="B201" s="433" t="s">
        <v>430</v>
      </c>
      <c r="C201" s="433">
        <v>2017</v>
      </c>
      <c r="D201" s="435" t="s">
        <v>63</v>
      </c>
      <c r="E201" s="437" t="s">
        <v>495</v>
      </c>
      <c r="F201" s="437" t="s">
        <v>23</v>
      </c>
      <c r="G201" s="91" t="s">
        <v>496</v>
      </c>
      <c r="H201" s="439" t="s">
        <v>505</v>
      </c>
      <c r="I201" s="455">
        <v>123</v>
      </c>
      <c r="J201" s="455">
        <v>2586</v>
      </c>
      <c r="K201" s="94">
        <v>6.1837</v>
      </c>
      <c r="L201" s="95">
        <f>128919.84*K201</f>
        <v>797201.61460800003</v>
      </c>
      <c r="M201" s="99" t="s">
        <v>492</v>
      </c>
      <c r="N201" s="108"/>
    </row>
    <row r="202" spans="1:14" s="22" customFormat="1" ht="23.25" customHeight="1" x14ac:dyDescent="0.2">
      <c r="A202" s="432"/>
      <c r="B202" s="438"/>
      <c r="C202" s="438"/>
      <c r="D202" s="436"/>
      <c r="E202" s="438"/>
      <c r="F202" s="438"/>
      <c r="G202" s="91" t="s">
        <v>521</v>
      </c>
      <c r="H202" s="440"/>
      <c r="I202" s="456"/>
      <c r="J202" s="456"/>
      <c r="K202" s="94">
        <v>6.1748000000000003</v>
      </c>
      <c r="L202" s="95">
        <f>118074.84*K202</f>
        <v>729088.52203200001</v>
      </c>
      <c r="M202" s="99" t="s">
        <v>520</v>
      </c>
      <c r="N202" s="108"/>
    </row>
    <row r="203" spans="1:14" s="22" customFormat="1" ht="33.6" customHeight="1" x14ac:dyDescent="0.2">
      <c r="A203" s="332">
        <v>1746</v>
      </c>
      <c r="B203" s="428" t="s">
        <v>508</v>
      </c>
      <c r="C203" s="333">
        <v>2016</v>
      </c>
      <c r="D203" s="301" t="s">
        <v>509</v>
      </c>
      <c r="E203" s="334">
        <v>2019</v>
      </c>
      <c r="F203" s="334" t="s">
        <v>510</v>
      </c>
      <c r="G203" s="67" t="s">
        <v>60</v>
      </c>
      <c r="H203" s="335" t="s">
        <v>92</v>
      </c>
      <c r="I203" s="336">
        <v>124</v>
      </c>
      <c r="J203" s="336">
        <v>2587</v>
      </c>
      <c r="K203" s="65">
        <v>379.8</v>
      </c>
      <c r="L203" s="66">
        <f>9000*K203</f>
        <v>3418200</v>
      </c>
      <c r="M203" s="124" t="s">
        <v>511</v>
      </c>
      <c r="N203" s="108"/>
    </row>
    <row r="204" spans="1:14" s="22" customFormat="1" ht="36" customHeight="1" x14ac:dyDescent="0.2">
      <c r="A204" s="349">
        <v>1747</v>
      </c>
      <c r="B204" s="428" t="s">
        <v>513</v>
      </c>
      <c r="C204" s="350">
        <v>2017</v>
      </c>
      <c r="D204" s="319" t="s">
        <v>152</v>
      </c>
      <c r="E204" s="351">
        <v>2019</v>
      </c>
      <c r="F204" s="351" t="s">
        <v>164</v>
      </c>
      <c r="G204" s="67" t="s">
        <v>486</v>
      </c>
      <c r="H204" s="352" t="s">
        <v>13</v>
      </c>
      <c r="I204" s="353">
        <v>125</v>
      </c>
      <c r="J204" s="353">
        <v>2588</v>
      </c>
      <c r="K204" s="65">
        <v>6.1978</v>
      </c>
      <c r="L204" s="66">
        <f>35000*K204</f>
        <v>216923</v>
      </c>
      <c r="M204" s="124" t="s">
        <v>514</v>
      </c>
      <c r="N204" s="108"/>
    </row>
    <row r="205" spans="1:14" s="22" customFormat="1" ht="35.450000000000003" customHeight="1" x14ac:dyDescent="0.2">
      <c r="A205" s="349"/>
      <c r="B205" s="428" t="s">
        <v>515</v>
      </c>
      <c r="C205" s="350">
        <v>2007</v>
      </c>
      <c r="D205" s="87" t="s">
        <v>516</v>
      </c>
      <c r="E205" s="351" t="s">
        <v>109</v>
      </c>
      <c r="F205" s="351" t="s">
        <v>191</v>
      </c>
      <c r="G205" s="67" t="s">
        <v>517</v>
      </c>
      <c r="H205" s="352" t="s">
        <v>13</v>
      </c>
      <c r="I205" s="353">
        <v>126</v>
      </c>
      <c r="J205" s="353">
        <v>2589</v>
      </c>
      <c r="K205" s="65">
        <v>6.1651999999999996</v>
      </c>
      <c r="L205" s="66">
        <f>220000*K205</f>
        <v>1356344</v>
      </c>
      <c r="M205" s="124" t="s">
        <v>514</v>
      </c>
      <c r="N205" s="108"/>
    </row>
    <row r="206" spans="1:14" s="22" customFormat="1" ht="28.9" customHeight="1" x14ac:dyDescent="0.2">
      <c r="A206" s="431"/>
      <c r="B206" s="433" t="s">
        <v>62</v>
      </c>
      <c r="C206" s="433">
        <v>2018</v>
      </c>
      <c r="D206" s="435" t="s">
        <v>63</v>
      </c>
      <c r="E206" s="410" t="s">
        <v>45</v>
      </c>
      <c r="F206" s="437" t="s">
        <v>64</v>
      </c>
      <c r="G206" s="91" t="s">
        <v>518</v>
      </c>
      <c r="H206" s="439" t="s">
        <v>13</v>
      </c>
      <c r="I206" s="411">
        <v>127</v>
      </c>
      <c r="J206" s="411">
        <v>2590</v>
      </c>
      <c r="K206" s="94">
        <v>6.1970999999999998</v>
      </c>
      <c r="L206" s="95">
        <f>10540*K206</f>
        <v>65317.434000000001</v>
      </c>
      <c r="M206" s="99" t="s">
        <v>514</v>
      </c>
      <c r="N206" s="108"/>
    </row>
    <row r="207" spans="1:14" s="22" customFormat="1" ht="29.45" customHeight="1" x14ac:dyDescent="0.2">
      <c r="A207" s="432"/>
      <c r="B207" s="434"/>
      <c r="C207" s="434"/>
      <c r="D207" s="436"/>
      <c r="E207" s="410" t="s">
        <v>133</v>
      </c>
      <c r="F207" s="438"/>
      <c r="G207" s="91" t="s">
        <v>531</v>
      </c>
      <c r="H207" s="440"/>
      <c r="I207" s="411">
        <v>128</v>
      </c>
      <c r="J207" s="411">
        <v>2591</v>
      </c>
      <c r="K207" s="94">
        <v>6.1626000000000003</v>
      </c>
      <c r="L207" s="95">
        <f>131620*K207</f>
        <v>811121.41200000001</v>
      </c>
      <c r="M207" s="99" t="s">
        <v>530</v>
      </c>
      <c r="N207" s="108"/>
    </row>
    <row r="208" spans="1:14" s="22" customFormat="1" ht="43.9" customHeight="1" x14ac:dyDescent="0.2">
      <c r="A208" s="384"/>
      <c r="B208" s="424" t="s">
        <v>195</v>
      </c>
      <c r="C208" s="385">
        <v>2018</v>
      </c>
      <c r="D208" s="390" t="s">
        <v>63</v>
      </c>
      <c r="E208" s="386" t="s">
        <v>133</v>
      </c>
      <c r="F208" s="386" t="s">
        <v>23</v>
      </c>
      <c r="G208" s="91" t="s">
        <v>521</v>
      </c>
      <c r="H208" s="382" t="s">
        <v>13</v>
      </c>
      <c r="I208" s="387">
        <v>129</v>
      </c>
      <c r="J208" s="387">
        <v>2592</v>
      </c>
      <c r="K208" s="94">
        <v>6.1741000000000001</v>
      </c>
      <c r="L208" s="95">
        <f>118074.84*K208</f>
        <v>729005.86964399996</v>
      </c>
      <c r="M208" s="99" t="s">
        <v>520</v>
      </c>
      <c r="N208" s="108"/>
    </row>
    <row r="209" spans="1:14" s="22" customFormat="1" ht="111" customHeight="1" x14ac:dyDescent="0.2">
      <c r="A209" s="384">
        <v>1748</v>
      </c>
      <c r="B209" s="424" t="s">
        <v>522</v>
      </c>
      <c r="C209" s="385">
        <v>2009</v>
      </c>
      <c r="D209" s="110" t="s">
        <v>523</v>
      </c>
      <c r="E209" s="386">
        <v>2019</v>
      </c>
      <c r="F209" s="386" t="s">
        <v>23</v>
      </c>
      <c r="G209" s="91" t="s">
        <v>524</v>
      </c>
      <c r="H209" s="382" t="s">
        <v>13</v>
      </c>
      <c r="I209" s="387">
        <v>130</v>
      </c>
      <c r="J209" s="387">
        <v>2593</v>
      </c>
      <c r="K209" s="94">
        <v>6.1734</v>
      </c>
      <c r="L209" s="95">
        <f>126161.84*K209</f>
        <v>778847.50305599999</v>
      </c>
      <c r="M209" s="99" t="s">
        <v>520</v>
      </c>
      <c r="N209" s="108"/>
    </row>
    <row r="210" spans="1:14" s="22" customFormat="1" ht="45" customHeight="1" x14ac:dyDescent="0.2">
      <c r="A210" s="384"/>
      <c r="B210" s="424" t="s">
        <v>138</v>
      </c>
      <c r="C210" s="385">
        <v>2017</v>
      </c>
      <c r="D210" s="390" t="s">
        <v>63</v>
      </c>
      <c r="E210" s="386" t="s">
        <v>133</v>
      </c>
      <c r="F210" s="386" t="s">
        <v>23</v>
      </c>
      <c r="G210" s="91" t="s">
        <v>525</v>
      </c>
      <c r="H210" s="382" t="s">
        <v>13</v>
      </c>
      <c r="I210" s="387">
        <v>131</v>
      </c>
      <c r="J210" s="387">
        <v>2594</v>
      </c>
      <c r="K210" s="94">
        <v>6.1734</v>
      </c>
      <c r="L210" s="95">
        <f>123371.84*K210</f>
        <v>761623.71705600002</v>
      </c>
      <c r="M210" s="99" t="s">
        <v>520</v>
      </c>
      <c r="N210" s="108"/>
    </row>
    <row r="211" spans="1:14" s="22" customFormat="1" ht="70.150000000000006" customHeight="1" x14ac:dyDescent="0.2">
      <c r="A211" s="354"/>
      <c r="B211" s="424" t="s">
        <v>193</v>
      </c>
      <c r="C211" s="359">
        <v>2010</v>
      </c>
      <c r="D211" s="356" t="s">
        <v>25</v>
      </c>
      <c r="E211" s="355" t="s">
        <v>526</v>
      </c>
      <c r="F211" s="355" t="s">
        <v>114</v>
      </c>
      <c r="G211" s="91" t="s">
        <v>527</v>
      </c>
      <c r="H211" s="357" t="s">
        <v>75</v>
      </c>
      <c r="I211" s="358">
        <v>132</v>
      </c>
      <c r="J211" s="358">
        <v>2595</v>
      </c>
      <c r="K211" s="94"/>
      <c r="L211" s="95">
        <v>112500</v>
      </c>
      <c r="M211" s="99" t="s">
        <v>520</v>
      </c>
      <c r="N211" s="108"/>
    </row>
    <row r="212" spans="1:14" s="22" customFormat="1" ht="72" customHeight="1" x14ac:dyDescent="0.2">
      <c r="A212" s="354"/>
      <c r="B212" s="424" t="s">
        <v>528</v>
      </c>
      <c r="C212" s="359">
        <v>2011</v>
      </c>
      <c r="D212" s="356" t="s">
        <v>25</v>
      </c>
      <c r="E212" s="355" t="s">
        <v>78</v>
      </c>
      <c r="F212" s="355" t="s">
        <v>114</v>
      </c>
      <c r="G212" s="91" t="s">
        <v>529</v>
      </c>
      <c r="H212" s="357" t="s">
        <v>75</v>
      </c>
      <c r="I212" s="358">
        <v>133</v>
      </c>
      <c r="J212" s="358">
        <v>2596</v>
      </c>
      <c r="K212" s="94"/>
      <c r="L212" s="95">
        <v>142900</v>
      </c>
      <c r="M212" s="99" t="s">
        <v>530</v>
      </c>
      <c r="N212" s="108"/>
    </row>
    <row r="213" spans="1:14" s="22" customFormat="1" ht="108.6" customHeight="1" x14ac:dyDescent="0.2">
      <c r="A213" s="362"/>
      <c r="B213" s="424" t="s">
        <v>368</v>
      </c>
      <c r="C213" s="363">
        <v>2015</v>
      </c>
      <c r="D213" s="372" t="s">
        <v>369</v>
      </c>
      <c r="E213" s="364" t="s">
        <v>89</v>
      </c>
      <c r="F213" s="364" t="s">
        <v>161</v>
      </c>
      <c r="G213" s="91" t="s">
        <v>533</v>
      </c>
      <c r="H213" s="365" t="s">
        <v>546</v>
      </c>
      <c r="I213" s="366"/>
      <c r="J213" s="366"/>
      <c r="K213" s="94">
        <v>6.1760000000000002</v>
      </c>
      <c r="L213" s="95">
        <f>34540*K213</f>
        <v>213319.04000000001</v>
      </c>
      <c r="M213" s="99" t="s">
        <v>534</v>
      </c>
      <c r="N213" s="108"/>
    </row>
    <row r="214" spans="1:14" s="22" customFormat="1" ht="40.9" customHeight="1" x14ac:dyDescent="0.2">
      <c r="A214" s="391">
        <v>1749</v>
      </c>
      <c r="B214" s="424" t="s">
        <v>535</v>
      </c>
      <c r="C214" s="395">
        <v>2018</v>
      </c>
      <c r="D214" s="396" t="s">
        <v>63</v>
      </c>
      <c r="E214" s="392">
        <v>2019</v>
      </c>
      <c r="F214" s="392" t="s">
        <v>23</v>
      </c>
      <c r="G214" s="91" t="s">
        <v>336</v>
      </c>
      <c r="H214" s="393" t="s">
        <v>13</v>
      </c>
      <c r="I214" s="394">
        <v>134</v>
      </c>
      <c r="J214" s="394">
        <v>2597</v>
      </c>
      <c r="K214" s="94">
        <v>6.1566000000000001</v>
      </c>
      <c r="L214" s="95">
        <f>126627.84*K214</f>
        <v>779596.95974399999</v>
      </c>
      <c r="M214" s="99" t="s">
        <v>536</v>
      </c>
      <c r="N214" s="108"/>
    </row>
    <row r="215" spans="1:14" s="22" customFormat="1" ht="72.599999999999994" customHeight="1" x14ac:dyDescent="0.2">
      <c r="A215" s="367"/>
      <c r="B215" s="428" t="s">
        <v>537</v>
      </c>
      <c r="C215" s="368">
        <v>2008</v>
      </c>
      <c r="D215" s="87" t="s">
        <v>538</v>
      </c>
      <c r="E215" s="369" t="s">
        <v>131</v>
      </c>
      <c r="F215" s="369" t="s">
        <v>229</v>
      </c>
      <c r="G215" s="67" t="s">
        <v>539</v>
      </c>
      <c r="H215" s="370" t="s">
        <v>13</v>
      </c>
      <c r="I215" s="371">
        <v>135</v>
      </c>
      <c r="J215" s="371">
        <v>2598</v>
      </c>
      <c r="K215" s="65">
        <v>434.61</v>
      </c>
      <c r="L215" s="66">
        <f>1597.49*K215</f>
        <v>694285.12890000001</v>
      </c>
      <c r="M215" s="124" t="s">
        <v>540</v>
      </c>
      <c r="N215" s="108"/>
    </row>
    <row r="216" spans="1:14" s="22" customFormat="1" ht="73.900000000000006" customHeight="1" x14ac:dyDescent="0.2">
      <c r="A216" s="367">
        <v>1750</v>
      </c>
      <c r="B216" s="428" t="s">
        <v>541</v>
      </c>
      <c r="C216" s="368">
        <v>2005</v>
      </c>
      <c r="D216" s="87" t="s">
        <v>542</v>
      </c>
      <c r="E216" s="369">
        <v>2019</v>
      </c>
      <c r="F216" s="369" t="s">
        <v>377</v>
      </c>
      <c r="G216" s="67" t="s">
        <v>543</v>
      </c>
      <c r="H216" s="370" t="s">
        <v>13</v>
      </c>
      <c r="I216" s="371">
        <v>136</v>
      </c>
      <c r="J216" s="371">
        <v>2599</v>
      </c>
      <c r="K216" s="65">
        <v>6.2350000000000003</v>
      </c>
      <c r="L216" s="66">
        <f>30590*K216</f>
        <v>190728.65000000002</v>
      </c>
      <c r="M216" s="124" t="s">
        <v>540</v>
      </c>
      <c r="N216" s="108"/>
    </row>
    <row r="217" spans="1:14" s="22" customFormat="1" ht="72" customHeight="1" x14ac:dyDescent="0.2">
      <c r="A217" s="405">
        <v>1751</v>
      </c>
      <c r="B217" s="424" t="s">
        <v>545</v>
      </c>
      <c r="C217" s="408">
        <v>2006</v>
      </c>
      <c r="D217" s="110" t="s">
        <v>544</v>
      </c>
      <c r="E217" s="406">
        <v>2019</v>
      </c>
      <c r="F217" s="406" t="s">
        <v>208</v>
      </c>
      <c r="G217" s="91" t="s">
        <v>584</v>
      </c>
      <c r="H217" s="407" t="s">
        <v>13</v>
      </c>
      <c r="I217" s="409">
        <v>137</v>
      </c>
      <c r="J217" s="409">
        <v>2600</v>
      </c>
      <c r="K217" s="94">
        <v>6.2431000000000001</v>
      </c>
      <c r="L217" s="95">
        <f>17763*K217</f>
        <v>110896.1853</v>
      </c>
      <c r="M217" s="99" t="s">
        <v>540</v>
      </c>
      <c r="N217" s="108"/>
    </row>
    <row r="218" spans="1:14" s="22" customFormat="1" ht="18" customHeight="1" x14ac:dyDescent="0.2">
      <c r="A218" s="431">
        <v>1752</v>
      </c>
      <c r="B218" s="433" t="s">
        <v>548</v>
      </c>
      <c r="C218" s="433">
        <v>2018</v>
      </c>
      <c r="D218" s="433" t="s">
        <v>549</v>
      </c>
      <c r="E218" s="437">
        <v>2019</v>
      </c>
      <c r="F218" s="437" t="s">
        <v>148</v>
      </c>
      <c r="G218" s="91" t="s">
        <v>550</v>
      </c>
      <c r="H218" s="439" t="s">
        <v>562</v>
      </c>
      <c r="I218" s="455">
        <v>138</v>
      </c>
      <c r="J218" s="455">
        <v>2601</v>
      </c>
      <c r="K218" s="94">
        <v>6.2274000000000003</v>
      </c>
      <c r="L218" s="95">
        <f>600000*K218</f>
        <v>3736440</v>
      </c>
      <c r="M218" s="99" t="s">
        <v>551</v>
      </c>
      <c r="N218" s="108"/>
    </row>
    <row r="219" spans="1:14" s="22" customFormat="1" ht="20.25" customHeight="1" x14ac:dyDescent="0.2">
      <c r="A219" s="487"/>
      <c r="B219" s="501"/>
      <c r="C219" s="501"/>
      <c r="D219" s="478"/>
      <c r="E219" s="478"/>
      <c r="F219" s="478"/>
      <c r="G219" s="91" t="s">
        <v>145</v>
      </c>
      <c r="H219" s="482"/>
      <c r="I219" s="483"/>
      <c r="J219" s="483"/>
      <c r="K219" s="94">
        <v>6.2622</v>
      </c>
      <c r="L219" s="95">
        <f>500000*K219</f>
        <v>3131100</v>
      </c>
      <c r="M219" s="99" t="s">
        <v>552</v>
      </c>
      <c r="N219" s="108"/>
    </row>
    <row r="220" spans="1:14" s="22" customFormat="1" ht="35.25" customHeight="1" x14ac:dyDescent="0.2">
      <c r="A220" s="432"/>
      <c r="B220" s="434"/>
      <c r="C220" s="434"/>
      <c r="D220" s="438"/>
      <c r="E220" s="438"/>
      <c r="F220" s="438"/>
      <c r="G220" s="91" t="s">
        <v>553</v>
      </c>
      <c r="H220" s="440"/>
      <c r="I220" s="456"/>
      <c r="J220" s="456"/>
      <c r="K220" s="94">
        <v>6.2397999999999998</v>
      </c>
      <c r="L220" s="95">
        <f>153200*K220</f>
        <v>955937.36</v>
      </c>
      <c r="M220" s="99" t="s">
        <v>554</v>
      </c>
      <c r="N220" s="108"/>
    </row>
    <row r="221" spans="1:14" s="22" customFormat="1" ht="20.25" customHeight="1" x14ac:dyDescent="0.2">
      <c r="A221" s="441">
        <v>1753</v>
      </c>
      <c r="B221" s="444" t="s">
        <v>555</v>
      </c>
      <c r="C221" s="444">
        <v>2012</v>
      </c>
      <c r="D221" s="444" t="s">
        <v>556</v>
      </c>
      <c r="E221" s="450">
        <v>2019</v>
      </c>
      <c r="F221" s="444" t="s">
        <v>510</v>
      </c>
      <c r="G221" s="67" t="s">
        <v>557</v>
      </c>
      <c r="H221" s="452" t="s">
        <v>13</v>
      </c>
      <c r="I221" s="489">
        <v>139</v>
      </c>
      <c r="J221" s="489">
        <v>2602</v>
      </c>
      <c r="K221" s="65">
        <v>379.6</v>
      </c>
      <c r="L221" s="66">
        <f>3600*K221</f>
        <v>1366560</v>
      </c>
      <c r="M221" s="124" t="s">
        <v>558</v>
      </c>
      <c r="N221" s="108"/>
    </row>
    <row r="222" spans="1:14" s="22" customFormat="1" ht="20.25" customHeight="1" x14ac:dyDescent="0.2">
      <c r="A222" s="443"/>
      <c r="B222" s="446"/>
      <c r="C222" s="446"/>
      <c r="D222" s="446"/>
      <c r="E222" s="446"/>
      <c r="F222" s="493"/>
      <c r="G222" s="67" t="s">
        <v>574</v>
      </c>
      <c r="H222" s="454"/>
      <c r="I222" s="488"/>
      <c r="J222" s="488"/>
      <c r="K222" s="65">
        <v>387.6</v>
      </c>
      <c r="L222" s="66">
        <f>2204*K222</f>
        <v>854270.4</v>
      </c>
      <c r="M222" s="124" t="s">
        <v>568</v>
      </c>
      <c r="N222" s="108"/>
    </row>
    <row r="223" spans="1:14" s="22" customFormat="1" ht="85.15" customHeight="1" x14ac:dyDescent="0.2">
      <c r="A223" s="384"/>
      <c r="B223" s="424" t="s">
        <v>235</v>
      </c>
      <c r="C223" s="385">
        <v>2014</v>
      </c>
      <c r="D223" s="385" t="s">
        <v>236</v>
      </c>
      <c r="E223" s="386" t="s">
        <v>133</v>
      </c>
      <c r="F223" s="399" t="s">
        <v>22</v>
      </c>
      <c r="G223" s="91" t="s">
        <v>594</v>
      </c>
      <c r="H223" s="382" t="s">
        <v>13</v>
      </c>
      <c r="I223" s="387">
        <v>140</v>
      </c>
      <c r="J223" s="387">
        <v>2603</v>
      </c>
      <c r="K223" s="94">
        <v>379.6</v>
      </c>
      <c r="L223" s="95">
        <f>2950*K223</f>
        <v>1119820</v>
      </c>
      <c r="M223" s="99" t="s">
        <v>560</v>
      </c>
      <c r="N223" s="108"/>
    </row>
    <row r="224" spans="1:14" s="22" customFormat="1" ht="17.25" customHeight="1" x14ac:dyDescent="0.2">
      <c r="A224" s="441">
        <v>1754</v>
      </c>
      <c r="B224" s="444" t="s">
        <v>563</v>
      </c>
      <c r="C224" s="444">
        <v>2013</v>
      </c>
      <c r="D224" s="444" t="s">
        <v>564</v>
      </c>
      <c r="E224" s="450">
        <v>2019</v>
      </c>
      <c r="F224" s="444" t="s">
        <v>303</v>
      </c>
      <c r="G224" s="67" t="s">
        <v>565</v>
      </c>
      <c r="H224" s="452" t="s">
        <v>92</v>
      </c>
      <c r="I224" s="489">
        <v>141</v>
      </c>
      <c r="J224" s="489">
        <v>2604</v>
      </c>
      <c r="K224" s="65">
        <v>386.6</v>
      </c>
      <c r="L224" s="66">
        <f>9000*K224</f>
        <v>3479400</v>
      </c>
      <c r="M224" s="124" t="s">
        <v>566</v>
      </c>
      <c r="N224" s="108"/>
    </row>
    <row r="225" spans="1:33" s="22" customFormat="1" ht="17.25" customHeight="1" x14ac:dyDescent="0.2">
      <c r="A225" s="443"/>
      <c r="B225" s="446"/>
      <c r="C225" s="446"/>
      <c r="D225" s="446"/>
      <c r="E225" s="446"/>
      <c r="F225" s="493"/>
      <c r="G225" s="67" t="s">
        <v>567</v>
      </c>
      <c r="H225" s="454"/>
      <c r="I225" s="488"/>
      <c r="J225" s="488"/>
      <c r="K225" s="65">
        <v>386.6</v>
      </c>
      <c r="L225" s="66">
        <f>3462*K225</f>
        <v>1338409.2000000002</v>
      </c>
      <c r="M225" s="124" t="s">
        <v>568</v>
      </c>
      <c r="N225" s="108"/>
    </row>
    <row r="226" spans="1:33" s="22" customFormat="1" ht="45.6" customHeight="1" x14ac:dyDescent="0.2">
      <c r="A226" s="401">
        <v>1755</v>
      </c>
      <c r="B226" s="428" t="s">
        <v>569</v>
      </c>
      <c r="C226" s="400">
        <v>2015</v>
      </c>
      <c r="D226" s="87" t="s">
        <v>570</v>
      </c>
      <c r="E226" s="402">
        <v>2019</v>
      </c>
      <c r="F226" s="400" t="s">
        <v>22</v>
      </c>
      <c r="G226" s="67" t="s">
        <v>571</v>
      </c>
      <c r="H226" s="403" t="s">
        <v>13</v>
      </c>
      <c r="I226" s="404">
        <v>142</v>
      </c>
      <c r="J226" s="404">
        <v>2605</v>
      </c>
      <c r="K226" s="65">
        <v>379.6</v>
      </c>
      <c r="L226" s="66">
        <f>7500*K226</f>
        <v>2847000</v>
      </c>
      <c r="M226" s="124" t="s">
        <v>566</v>
      </c>
      <c r="N226" s="108"/>
    </row>
    <row r="227" spans="1:33" s="22" customFormat="1" ht="66" customHeight="1" x14ac:dyDescent="0.2">
      <c r="A227" s="401">
        <v>1756</v>
      </c>
      <c r="B227" s="428" t="s">
        <v>572</v>
      </c>
      <c r="C227" s="400">
        <v>2006</v>
      </c>
      <c r="D227" s="87" t="s">
        <v>573</v>
      </c>
      <c r="E227" s="402">
        <v>2019</v>
      </c>
      <c r="F227" s="400" t="s">
        <v>22</v>
      </c>
      <c r="G227" s="67" t="s">
        <v>571</v>
      </c>
      <c r="H227" s="403" t="s">
        <v>13</v>
      </c>
      <c r="I227" s="404">
        <v>143</v>
      </c>
      <c r="J227" s="404">
        <v>2606</v>
      </c>
      <c r="K227" s="65">
        <v>388.1</v>
      </c>
      <c r="L227" s="66">
        <f>7500*K227</f>
        <v>2910750</v>
      </c>
      <c r="M227" s="124" t="s">
        <v>566</v>
      </c>
      <c r="N227" s="108"/>
    </row>
    <row r="228" spans="1:33" s="22" customFormat="1" ht="69.599999999999994" customHeight="1" x14ac:dyDescent="0.2">
      <c r="A228" s="405">
        <v>1757</v>
      </c>
      <c r="B228" s="424" t="s">
        <v>575</v>
      </c>
      <c r="C228" s="408">
        <v>2018</v>
      </c>
      <c r="D228" s="110" t="s">
        <v>600</v>
      </c>
      <c r="E228" s="406">
        <v>2019</v>
      </c>
      <c r="F228" s="408" t="s">
        <v>576</v>
      </c>
      <c r="G228" s="91" t="s">
        <v>577</v>
      </c>
      <c r="H228" s="407" t="s">
        <v>13</v>
      </c>
      <c r="I228" s="409">
        <v>144</v>
      </c>
      <c r="J228" s="409">
        <v>2607</v>
      </c>
      <c r="K228" s="94">
        <v>6.0378999999999996</v>
      </c>
      <c r="L228" s="95">
        <f>143737.69*K228</f>
        <v>867873.79845100001</v>
      </c>
      <c r="M228" s="99" t="s">
        <v>578</v>
      </c>
      <c r="N228" s="108"/>
    </row>
    <row r="229" spans="1:33" s="22" customFormat="1" ht="45" customHeight="1" x14ac:dyDescent="0.2">
      <c r="A229" s="401"/>
      <c r="B229" s="428" t="s">
        <v>579</v>
      </c>
      <c r="C229" s="400">
        <v>2010</v>
      </c>
      <c r="D229" s="400" t="s">
        <v>25</v>
      </c>
      <c r="E229" s="402" t="s">
        <v>526</v>
      </c>
      <c r="F229" s="400" t="s">
        <v>580</v>
      </c>
      <c r="G229" s="67" t="s">
        <v>581</v>
      </c>
      <c r="H229" s="403" t="s">
        <v>75</v>
      </c>
      <c r="I229" s="404">
        <v>145</v>
      </c>
      <c r="J229" s="404">
        <v>2608</v>
      </c>
      <c r="K229" s="65">
        <v>6.1033999999999997</v>
      </c>
      <c r="L229" s="66">
        <f>16500*K229</f>
        <v>100706.09999999999</v>
      </c>
      <c r="M229" s="124" t="s">
        <v>578</v>
      </c>
      <c r="N229" s="108"/>
    </row>
    <row r="230" spans="1:33" s="22" customFormat="1" ht="56.45" customHeight="1" x14ac:dyDescent="0.2">
      <c r="A230" s="401"/>
      <c r="B230" s="428" t="s">
        <v>368</v>
      </c>
      <c r="C230" s="421">
        <v>2015</v>
      </c>
      <c r="D230" s="421" t="s">
        <v>493</v>
      </c>
      <c r="E230" s="423" t="s">
        <v>89</v>
      </c>
      <c r="F230" s="421" t="s">
        <v>161</v>
      </c>
      <c r="G230" s="67" t="s">
        <v>596</v>
      </c>
      <c r="H230" s="422" t="s">
        <v>13</v>
      </c>
      <c r="I230" s="404"/>
      <c r="J230" s="404"/>
      <c r="K230" s="65">
        <v>6.0773999999999999</v>
      </c>
      <c r="L230" s="66">
        <f>31200*K230</f>
        <v>189614.88</v>
      </c>
      <c r="M230" s="124" t="s">
        <v>597</v>
      </c>
      <c r="N230" s="108"/>
    </row>
    <row r="231" spans="1:33" s="22" customFormat="1" ht="70.150000000000006" customHeight="1" x14ac:dyDescent="0.2">
      <c r="A231" s="401"/>
      <c r="B231" s="428" t="s">
        <v>598</v>
      </c>
      <c r="C231" s="421">
        <v>2017</v>
      </c>
      <c r="D231" s="429" t="s">
        <v>599</v>
      </c>
      <c r="E231" s="423" t="s">
        <v>45</v>
      </c>
      <c r="F231" s="421" t="s">
        <v>601</v>
      </c>
      <c r="G231" s="67" t="s">
        <v>602</v>
      </c>
      <c r="H231" s="422" t="s">
        <v>13</v>
      </c>
      <c r="I231" s="404">
        <v>146</v>
      </c>
      <c r="J231" s="404">
        <v>2609</v>
      </c>
      <c r="K231" s="65">
        <v>390.12</v>
      </c>
      <c r="L231" s="66">
        <f>10000*K231</f>
        <v>3901200</v>
      </c>
      <c r="M231" s="124" t="s">
        <v>603</v>
      </c>
      <c r="N231" s="108"/>
    </row>
    <row r="232" spans="1:33" s="22" customFormat="1" ht="31.15" customHeight="1" x14ac:dyDescent="0.2">
      <c r="A232" s="401"/>
      <c r="B232" s="428" t="s">
        <v>463</v>
      </c>
      <c r="C232" s="421">
        <v>2009</v>
      </c>
      <c r="D232" s="248" t="s">
        <v>464</v>
      </c>
      <c r="E232" s="423" t="s">
        <v>89</v>
      </c>
      <c r="F232" s="421" t="s">
        <v>465</v>
      </c>
      <c r="G232" s="67" t="s">
        <v>604</v>
      </c>
      <c r="H232" s="422" t="s">
        <v>13</v>
      </c>
      <c r="I232" s="404"/>
      <c r="J232" s="404"/>
      <c r="K232" s="65">
        <v>386.6</v>
      </c>
      <c r="L232" s="66">
        <f>7428.25*K232</f>
        <v>2871761.45</v>
      </c>
      <c r="M232" s="124" t="s">
        <v>605</v>
      </c>
      <c r="N232" s="108"/>
    </row>
    <row r="233" spans="1:33" s="22" customFormat="1" ht="43.15" customHeight="1" x14ac:dyDescent="0.2">
      <c r="A233" s="401">
        <v>1758</v>
      </c>
      <c r="B233" s="428" t="s">
        <v>606</v>
      </c>
      <c r="C233" s="421">
        <v>2014</v>
      </c>
      <c r="D233" s="429" t="s">
        <v>607</v>
      </c>
      <c r="E233" s="423">
        <v>2019</v>
      </c>
      <c r="F233" s="421" t="s">
        <v>164</v>
      </c>
      <c r="G233" s="67" t="s">
        <v>608</v>
      </c>
      <c r="H233" s="422" t="s">
        <v>13</v>
      </c>
      <c r="I233" s="404">
        <v>147</v>
      </c>
      <c r="J233" s="404">
        <v>2610</v>
      </c>
      <c r="K233" s="65">
        <v>6.0065</v>
      </c>
      <c r="L233" s="66">
        <f>68500*K233</f>
        <v>411445.25</v>
      </c>
      <c r="M233" s="124" t="s">
        <v>605</v>
      </c>
      <c r="N233" s="108"/>
    </row>
    <row r="234" spans="1:33" s="22" customFormat="1" ht="57" customHeight="1" x14ac:dyDescent="0.2">
      <c r="A234" s="401"/>
      <c r="B234" s="428" t="s">
        <v>609</v>
      </c>
      <c r="C234" s="421">
        <v>2011</v>
      </c>
      <c r="D234" s="429" t="s">
        <v>614</v>
      </c>
      <c r="E234" s="423" t="s">
        <v>617</v>
      </c>
      <c r="F234" s="421" t="s">
        <v>270</v>
      </c>
      <c r="G234" s="67" t="s">
        <v>610</v>
      </c>
      <c r="H234" s="422" t="s">
        <v>13</v>
      </c>
      <c r="I234" s="404">
        <v>148</v>
      </c>
      <c r="J234" s="404">
        <v>2611</v>
      </c>
      <c r="K234" s="65">
        <v>6.0053999999999998</v>
      </c>
      <c r="L234" s="66">
        <f>112085*K234</f>
        <v>673115.25899999996</v>
      </c>
      <c r="M234" s="124" t="s">
        <v>605</v>
      </c>
      <c r="N234" s="108"/>
    </row>
    <row r="235" spans="1:33" s="22" customFormat="1" ht="54" customHeight="1" x14ac:dyDescent="0.2">
      <c r="A235" s="401">
        <v>1759</v>
      </c>
      <c r="B235" s="428" t="s">
        <v>611</v>
      </c>
      <c r="C235" s="421">
        <v>2002</v>
      </c>
      <c r="D235" s="429" t="s">
        <v>615</v>
      </c>
      <c r="E235" s="423">
        <v>2019</v>
      </c>
      <c r="F235" s="421" t="s">
        <v>270</v>
      </c>
      <c r="G235" s="67" t="s">
        <v>612</v>
      </c>
      <c r="H235" s="422" t="s">
        <v>13</v>
      </c>
      <c r="I235" s="404">
        <v>149</v>
      </c>
      <c r="J235" s="404">
        <v>2612</v>
      </c>
      <c r="K235" s="65">
        <v>6.0018000000000002</v>
      </c>
      <c r="L235" s="66">
        <f>128335*K235</f>
        <v>770241.00300000003</v>
      </c>
      <c r="M235" s="124" t="s">
        <v>605</v>
      </c>
      <c r="N235" s="108"/>
    </row>
    <row r="236" spans="1:33" s="22" customFormat="1" ht="60" customHeight="1" x14ac:dyDescent="0.2">
      <c r="A236" s="401">
        <v>1760</v>
      </c>
      <c r="B236" s="428" t="s">
        <v>613</v>
      </c>
      <c r="C236" s="421">
        <v>2016</v>
      </c>
      <c r="D236" s="429" t="s">
        <v>614</v>
      </c>
      <c r="E236" s="423">
        <v>2019</v>
      </c>
      <c r="F236" s="421" t="s">
        <v>270</v>
      </c>
      <c r="G236" s="67" t="s">
        <v>616</v>
      </c>
      <c r="H236" s="422" t="s">
        <v>13</v>
      </c>
      <c r="I236" s="404">
        <v>150</v>
      </c>
      <c r="J236" s="404">
        <v>2613</v>
      </c>
      <c r="K236" s="65">
        <v>6.0018000000000002</v>
      </c>
      <c r="L236" s="66">
        <f>140275*K236</f>
        <v>841902.495</v>
      </c>
      <c r="M236" s="124" t="s">
        <v>605</v>
      </c>
      <c r="N236" s="108"/>
    </row>
    <row r="237" spans="1:33" s="22" customFormat="1" x14ac:dyDescent="0.2">
      <c r="A237" s="96"/>
      <c r="B237" s="83"/>
      <c r="C237" s="83"/>
      <c r="D237" s="97"/>
      <c r="E237" s="219"/>
      <c r="F237" s="231"/>
      <c r="G237" s="91"/>
      <c r="H237" s="81"/>
      <c r="I237" s="98"/>
      <c r="J237" s="98"/>
      <c r="K237" s="94"/>
      <c r="L237" s="95"/>
      <c r="M237" s="99"/>
    </row>
    <row r="238" spans="1:33" s="13" customFormat="1" x14ac:dyDescent="0.2">
      <c r="A238" s="36"/>
      <c r="B238" s="37" t="s">
        <v>35</v>
      </c>
      <c r="C238" s="38"/>
      <c r="D238" s="38"/>
      <c r="E238" s="39"/>
      <c r="F238" s="39"/>
      <c r="G238" s="40"/>
      <c r="H238" s="41"/>
      <c r="I238" s="86"/>
      <c r="J238" s="42"/>
      <c r="K238" s="43"/>
      <c r="L238" s="44">
        <f>SUM(L31:L237)</f>
        <v>254403894.7193459</v>
      </c>
      <c r="M238" s="60"/>
      <c r="N238" s="74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</row>
    <row r="239" spans="1:33" x14ac:dyDescent="0.2">
      <c r="F239" s="19"/>
      <c r="I239" s="85"/>
      <c r="N239" s="7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</row>
    <row r="240" spans="1:33" x14ac:dyDescent="0.2">
      <c r="F240" s="20"/>
      <c r="M240" s="75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</row>
    <row r="241" spans="14:33" x14ac:dyDescent="0.2">
      <c r="N241" s="7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14:33" x14ac:dyDescent="0.2">
      <c r="N242" s="7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</row>
    <row r="243" spans="14:33" x14ac:dyDescent="0.2">
      <c r="N243" s="73"/>
    </row>
    <row r="251" spans="14:33" x14ac:dyDescent="0.2">
      <c r="N251" s="73"/>
    </row>
  </sheetData>
  <sheetProtection password="81D3" sheet="1" objects="1" scenarios="1" selectLockedCells="1" selectUnlockedCells="1"/>
  <autoFilter ref="A29:N35"/>
  <mergeCells count="275">
    <mergeCell ref="K69:K70"/>
    <mergeCell ref="L69:L70"/>
    <mergeCell ref="M69:M70"/>
    <mergeCell ref="N69:N70"/>
    <mergeCell ref="A221:A222"/>
    <mergeCell ref="B221:B222"/>
    <mergeCell ref="C221:C222"/>
    <mergeCell ref="D221:D222"/>
    <mergeCell ref="E221:E222"/>
    <mergeCell ref="F221:F222"/>
    <mergeCell ref="H221:H222"/>
    <mergeCell ref="I221:I222"/>
    <mergeCell ref="J221:J222"/>
    <mergeCell ref="A218:A220"/>
    <mergeCell ref="B218:B220"/>
    <mergeCell ref="C218:C220"/>
    <mergeCell ref="D218:D220"/>
    <mergeCell ref="E218:E220"/>
    <mergeCell ref="F218:F220"/>
    <mergeCell ref="H218:H220"/>
    <mergeCell ref="I218:I220"/>
    <mergeCell ref="J218:J220"/>
    <mergeCell ref="C112:C113"/>
    <mergeCell ref="A95:A97"/>
    <mergeCell ref="H224:H225"/>
    <mergeCell ref="A224:A225"/>
    <mergeCell ref="B224:B225"/>
    <mergeCell ref="C224:C225"/>
    <mergeCell ref="D224:D225"/>
    <mergeCell ref="E224:E225"/>
    <mergeCell ref="F224:F225"/>
    <mergeCell ref="I224:I225"/>
    <mergeCell ref="J224:J225"/>
    <mergeCell ref="H39:H40"/>
    <mergeCell ref="I39:I40"/>
    <mergeCell ref="J39:J40"/>
    <mergeCell ref="I188:I190"/>
    <mergeCell ref="J188:J190"/>
    <mergeCell ref="A134:A135"/>
    <mergeCell ref="B134:B135"/>
    <mergeCell ref="C134:C135"/>
    <mergeCell ref="D134:D135"/>
    <mergeCell ref="E134:E135"/>
    <mergeCell ref="F134:F135"/>
    <mergeCell ref="H134:H135"/>
    <mergeCell ref="I134:I135"/>
    <mergeCell ref="J134:J135"/>
    <mergeCell ref="H146:H147"/>
    <mergeCell ref="I146:I147"/>
    <mergeCell ref="J146:J147"/>
    <mergeCell ref="I175:I176"/>
    <mergeCell ref="J175:J176"/>
    <mergeCell ref="I173:I174"/>
    <mergeCell ref="J173:J174"/>
    <mergeCell ref="A184:A185"/>
    <mergeCell ref="B184:B185"/>
    <mergeCell ref="A39:A40"/>
    <mergeCell ref="J117:J118"/>
    <mergeCell ref="A81:A85"/>
    <mergeCell ref="B81:B85"/>
    <mergeCell ref="C81:C85"/>
    <mergeCell ref="D81:D85"/>
    <mergeCell ref="E81:E85"/>
    <mergeCell ref="F81:F85"/>
    <mergeCell ref="F69:F70"/>
    <mergeCell ref="H69:H70"/>
    <mergeCell ref="I69:I70"/>
    <mergeCell ref="A69:A70"/>
    <mergeCell ref="B69:B70"/>
    <mergeCell ref="C117:C118"/>
    <mergeCell ref="E117:E118"/>
    <mergeCell ref="B95:B97"/>
    <mergeCell ref="C95:C97"/>
    <mergeCell ref="A117:A118"/>
    <mergeCell ref="B117:B118"/>
    <mergeCell ref="D117:D118"/>
    <mergeCell ref="A44:A45"/>
    <mergeCell ref="B44:B45"/>
    <mergeCell ref="C44:C45"/>
    <mergeCell ref="A77:A78"/>
    <mergeCell ref="B77:B78"/>
    <mergeCell ref="C77:C78"/>
    <mergeCell ref="A66:A67"/>
    <mergeCell ref="B66:B67"/>
    <mergeCell ref="A112:A113"/>
    <mergeCell ref="B112:B113"/>
    <mergeCell ref="A119:A120"/>
    <mergeCell ref="B119:B120"/>
    <mergeCell ref="C119:C120"/>
    <mergeCell ref="F117:F118"/>
    <mergeCell ref="A143:A144"/>
    <mergeCell ref="B143:B144"/>
    <mergeCell ref="C143:C144"/>
    <mergeCell ref="D143:D144"/>
    <mergeCell ref="E143:E144"/>
    <mergeCell ref="F143:F144"/>
    <mergeCell ref="A146:A147"/>
    <mergeCell ref="B146:B147"/>
    <mergeCell ref="C146:C147"/>
    <mergeCell ref="D146:D147"/>
    <mergeCell ref="E146:E147"/>
    <mergeCell ref="I91:I92"/>
    <mergeCell ref="J91:J92"/>
    <mergeCell ref="D119:D120"/>
    <mergeCell ref="E119:E120"/>
    <mergeCell ref="F119:F120"/>
    <mergeCell ref="H119:H120"/>
    <mergeCell ref="I119:I120"/>
    <mergeCell ref="J119:J120"/>
    <mergeCell ref="H143:H144"/>
    <mergeCell ref="I143:I144"/>
    <mergeCell ref="H117:H118"/>
    <mergeCell ref="I117:I118"/>
    <mergeCell ref="F146:F147"/>
    <mergeCell ref="A91:A92"/>
    <mergeCell ref="B91:B92"/>
    <mergeCell ref="C91:C92"/>
    <mergeCell ref="D91:D92"/>
    <mergeCell ref="E91:E92"/>
    <mergeCell ref="F91:F92"/>
    <mergeCell ref="A63:A64"/>
    <mergeCell ref="B63:B64"/>
    <mergeCell ref="C63:C64"/>
    <mergeCell ref="A49:A50"/>
    <mergeCell ref="C69:C70"/>
    <mergeCell ref="A55:A61"/>
    <mergeCell ref="B55:B61"/>
    <mergeCell ref="C55:C61"/>
    <mergeCell ref="J143:J144"/>
    <mergeCell ref="H82:H85"/>
    <mergeCell ref="I81:I85"/>
    <mergeCell ref="J81:J85"/>
    <mergeCell ref="D112:D113"/>
    <mergeCell ref="E112:E113"/>
    <mergeCell ref="F112:F113"/>
    <mergeCell ref="H112:H113"/>
    <mergeCell ref="I112:I113"/>
    <mergeCell ref="J112:J113"/>
    <mergeCell ref="D95:D97"/>
    <mergeCell ref="E95:E97"/>
    <mergeCell ref="F95:F97"/>
    <mergeCell ref="I95:I97"/>
    <mergeCell ref="J95:J97"/>
    <mergeCell ref="H91:H92"/>
    <mergeCell ref="J44:J45"/>
    <mergeCell ref="H63:H64"/>
    <mergeCell ref="I63:I64"/>
    <mergeCell ref="J63:J64"/>
    <mergeCell ref="I66:I67"/>
    <mergeCell ref="H55:H61"/>
    <mergeCell ref="I55:I61"/>
    <mergeCell ref="J55:J61"/>
    <mergeCell ref="C66:C67"/>
    <mergeCell ref="H49:H50"/>
    <mergeCell ref="I44:I45"/>
    <mergeCell ref="D77:D78"/>
    <mergeCell ref="I77:I78"/>
    <mergeCell ref="J77:J78"/>
    <mergeCell ref="J69:J70"/>
    <mergeCell ref="I49:I50"/>
    <mergeCell ref="J49:J50"/>
    <mergeCell ref="D66:D67"/>
    <mergeCell ref="E66:E67"/>
    <mergeCell ref="F66:F67"/>
    <mergeCell ref="H66:H67"/>
    <mergeCell ref="D63:D64"/>
    <mergeCell ref="E63:E64"/>
    <mergeCell ref="F63:F64"/>
    <mergeCell ref="J66:J67"/>
    <mergeCell ref="D69:D70"/>
    <mergeCell ref="E69:E70"/>
    <mergeCell ref="D55:D61"/>
    <mergeCell ref="E55:E61"/>
    <mergeCell ref="F55:F61"/>
    <mergeCell ref="G69:G70"/>
    <mergeCell ref="B24:C24"/>
    <mergeCell ref="D37:D38"/>
    <mergeCell ref="E37:E38"/>
    <mergeCell ref="D44:D45"/>
    <mergeCell ref="E44:E45"/>
    <mergeCell ref="D49:D50"/>
    <mergeCell ref="E49:E50"/>
    <mergeCell ref="F44:F45"/>
    <mergeCell ref="F49:F50"/>
    <mergeCell ref="B49:B50"/>
    <mergeCell ref="C49:C50"/>
    <mergeCell ref="F39:F40"/>
    <mergeCell ref="B39:B40"/>
    <mergeCell ref="C39:C40"/>
    <mergeCell ref="D39:D40"/>
    <mergeCell ref="E39:E40"/>
    <mergeCell ref="A37:A38"/>
    <mergeCell ref="B37:B38"/>
    <mergeCell ref="C37:C38"/>
    <mergeCell ref="A35:A36"/>
    <mergeCell ref="B35:B36"/>
    <mergeCell ref="C35:C36"/>
    <mergeCell ref="B1:G1"/>
    <mergeCell ref="B2:G2"/>
    <mergeCell ref="B20:C20"/>
    <mergeCell ref="B21:C21"/>
    <mergeCell ref="B22:C22"/>
    <mergeCell ref="B4:M4"/>
    <mergeCell ref="B25:C25"/>
    <mergeCell ref="F35:F36"/>
    <mergeCell ref="H35:H36"/>
    <mergeCell ref="I35:I36"/>
    <mergeCell ref="H37:H38"/>
    <mergeCell ref="F37:F38"/>
    <mergeCell ref="J35:J36"/>
    <mergeCell ref="D35:D36"/>
    <mergeCell ref="E35:E36"/>
    <mergeCell ref="I37:I38"/>
    <mergeCell ref="J37:J38"/>
    <mergeCell ref="B23:C23"/>
    <mergeCell ref="I184:I185"/>
    <mergeCell ref="J184:J185"/>
    <mergeCell ref="A159:A160"/>
    <mergeCell ref="B159:B160"/>
    <mergeCell ref="C159:C160"/>
    <mergeCell ref="D159:D160"/>
    <mergeCell ref="E159:E160"/>
    <mergeCell ref="F159:F160"/>
    <mergeCell ref="H159:H160"/>
    <mergeCell ref="I159:I160"/>
    <mergeCell ref="J159:J160"/>
    <mergeCell ref="H175:H176"/>
    <mergeCell ref="A175:A176"/>
    <mergeCell ref="B175:B176"/>
    <mergeCell ref="C175:C176"/>
    <mergeCell ref="D175:D176"/>
    <mergeCell ref="E175:E176"/>
    <mergeCell ref="F175:F176"/>
    <mergeCell ref="C184:C185"/>
    <mergeCell ref="D184:D185"/>
    <mergeCell ref="C198:C199"/>
    <mergeCell ref="D198:D199"/>
    <mergeCell ref="E198:E199"/>
    <mergeCell ref="F198:F199"/>
    <mergeCell ref="H198:H199"/>
    <mergeCell ref="I198:I199"/>
    <mergeCell ref="J198:J199"/>
    <mergeCell ref="A201:A202"/>
    <mergeCell ref="B201:B202"/>
    <mergeCell ref="C201:C202"/>
    <mergeCell ref="D201:D202"/>
    <mergeCell ref="E201:E202"/>
    <mergeCell ref="H201:H202"/>
    <mergeCell ref="F201:F202"/>
    <mergeCell ref="I201:I202"/>
    <mergeCell ref="J201:J202"/>
    <mergeCell ref="A206:A207"/>
    <mergeCell ref="B206:B207"/>
    <mergeCell ref="C206:C207"/>
    <mergeCell ref="D206:D207"/>
    <mergeCell ref="F206:F207"/>
    <mergeCell ref="H206:H207"/>
    <mergeCell ref="A173:A174"/>
    <mergeCell ref="B173:B174"/>
    <mergeCell ref="C173:C174"/>
    <mergeCell ref="D173:D174"/>
    <mergeCell ref="E173:E174"/>
    <mergeCell ref="F173:F174"/>
    <mergeCell ref="E184:E185"/>
    <mergeCell ref="F184:F185"/>
    <mergeCell ref="H184:H185"/>
    <mergeCell ref="A188:A190"/>
    <mergeCell ref="B188:B190"/>
    <mergeCell ref="C188:C190"/>
    <mergeCell ref="D188:D190"/>
    <mergeCell ref="E188:E190"/>
    <mergeCell ref="F188:F190"/>
    <mergeCell ref="H188:H190"/>
    <mergeCell ref="A198:A199"/>
    <mergeCell ref="B198:B199"/>
  </mergeCells>
  <pageMargins left="0.25" right="0.25" top="0.75" bottom="0.75" header="0.3" footer="0.3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2019-08-13T08:36:35Z</cp:lastPrinted>
  <dcterms:created xsi:type="dcterms:W3CDTF">2013-11-07T08:01:25Z</dcterms:created>
  <dcterms:modified xsi:type="dcterms:W3CDTF">2019-08-13T10:00:40Z</dcterms:modified>
</cp:coreProperties>
</file>