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085"/>
  </bookViews>
  <sheets>
    <sheet name="2010" sheetId="4" r:id="rId1"/>
  </sheets>
  <calcPr calcId="145621"/>
</workbook>
</file>

<file path=xl/calcChain.xml><?xml version="1.0" encoding="utf-8"?>
<calcChain xmlns="http://schemas.openxmlformats.org/spreadsheetml/2006/main">
  <c r="K81" i="4" l="1"/>
  <c r="G81" i="4" l="1"/>
  <c r="K42" i="4"/>
  <c r="G42" i="4" s="1"/>
  <c r="K113" i="4"/>
  <c r="G113" i="4" s="1"/>
  <c r="K46" i="4"/>
  <c r="G46" i="4" s="1"/>
  <c r="K89" i="4"/>
  <c r="G89" i="4" s="1"/>
  <c r="K129" i="4"/>
  <c r="G129" i="4" s="1"/>
  <c r="K87" i="4"/>
  <c r="G87" i="4" s="1"/>
  <c r="K53" i="4"/>
  <c r="G53" i="4" s="1"/>
  <c r="K71" i="4"/>
  <c r="G71" i="4" s="1"/>
  <c r="K28" i="4"/>
  <c r="G28" i="4" s="1"/>
  <c r="K26" i="4"/>
  <c r="G26" i="4" s="1"/>
  <c r="K105" i="4" l="1"/>
  <c r="G105" i="4" s="1"/>
  <c r="K109" i="4"/>
  <c r="G109" i="4" s="1"/>
  <c r="K91" i="4"/>
  <c r="G91" i="4" s="1"/>
  <c r="K110" i="4"/>
  <c r="G110" i="4" s="1"/>
  <c r="K117" i="4"/>
  <c r="G117" i="4" s="1"/>
  <c r="K118" i="4"/>
  <c r="G118" i="4" s="1"/>
  <c r="K114" i="4"/>
  <c r="G114" i="4" s="1"/>
  <c r="K115" i="4"/>
  <c r="G115" i="4" s="1"/>
  <c r="K116" i="4"/>
  <c r="G116" i="4" s="1"/>
  <c r="K76" i="4"/>
  <c r="G76" i="4" s="1"/>
  <c r="K60" i="4"/>
  <c r="G60" i="4" s="1"/>
  <c r="K122" i="4"/>
  <c r="G122" i="4" s="1"/>
  <c r="K121" i="4"/>
  <c r="G121" i="4" s="1"/>
  <c r="K120" i="4"/>
  <c r="G120" i="4" s="1"/>
  <c r="K119" i="4"/>
  <c r="G119" i="4" s="1"/>
  <c r="K123" i="4"/>
  <c r="G123" i="4" s="1"/>
  <c r="K124" i="4"/>
  <c r="G124" i="4" s="1"/>
  <c r="K125" i="4"/>
  <c r="G125" i="4" s="1"/>
  <c r="K112" i="4"/>
  <c r="G112" i="4" s="1"/>
  <c r="K126" i="4"/>
  <c r="G126" i="4" s="1"/>
  <c r="K127" i="4"/>
  <c r="G127" i="4" s="1"/>
  <c r="K128" i="4"/>
  <c r="G128" i="4" s="1"/>
  <c r="K136" i="4"/>
  <c r="G136" i="4" s="1"/>
  <c r="K135" i="4"/>
  <c r="G135" i="4" s="1"/>
  <c r="K133" i="4"/>
  <c r="G133" i="4" s="1"/>
  <c r="K131" i="4"/>
  <c r="G131" i="4" s="1"/>
  <c r="K137" i="4"/>
  <c r="G137" i="4" s="1"/>
  <c r="K134" i="4"/>
  <c r="G134" i="4" s="1"/>
  <c r="K132" i="4"/>
  <c r="G132" i="4" s="1"/>
  <c r="K27" i="4"/>
  <c r="G27" i="4" s="1"/>
  <c r="K31" i="4"/>
  <c r="G31" i="4" s="1"/>
  <c r="K30" i="4"/>
  <c r="G30" i="4" s="1"/>
  <c r="K32" i="4"/>
  <c r="G32" i="4" s="1"/>
  <c r="K29" i="4"/>
  <c r="G29" i="4" s="1"/>
  <c r="G52" i="4"/>
  <c r="K52" i="4"/>
  <c r="K36" i="4"/>
  <c r="G36" i="4" s="1"/>
  <c r="K39" i="4"/>
  <c r="G39" i="4" s="1"/>
  <c r="K33" i="4"/>
  <c r="G33" i="4" s="1"/>
  <c r="G144" i="4"/>
  <c r="K144" i="4"/>
  <c r="G35" i="4"/>
  <c r="K35" i="4"/>
  <c r="G34" i="4"/>
  <c r="K34" i="4"/>
  <c r="G37" i="4"/>
  <c r="K37" i="4"/>
  <c r="G38" i="4"/>
  <c r="K38" i="4"/>
  <c r="G142" i="4"/>
  <c r="K142" i="4"/>
  <c r="K41" i="4"/>
  <c r="G41" i="4" s="1"/>
  <c r="K47" i="4"/>
  <c r="G47" i="4" s="1"/>
  <c r="K51" i="4"/>
  <c r="G51" i="4" s="1"/>
  <c r="K50" i="4"/>
  <c r="G50" i="4" s="1"/>
  <c r="G43" i="4"/>
  <c r="K43" i="4"/>
  <c r="G64" i="4"/>
  <c r="K64" i="4"/>
  <c r="K48" i="4"/>
  <c r="G48" i="4" s="1"/>
  <c r="K49" i="4"/>
  <c r="G49" i="4" s="1"/>
  <c r="K61" i="4"/>
  <c r="G61" i="4" s="1"/>
  <c r="K45" i="4"/>
  <c r="G45" i="4" s="1"/>
  <c r="K44" i="4"/>
  <c r="G44" i="4" s="1"/>
  <c r="K55" i="4"/>
  <c r="G55" i="4" s="1"/>
  <c r="K40" i="4"/>
  <c r="G40" i="4" s="1"/>
  <c r="K54" i="4"/>
  <c r="G54" i="4" s="1"/>
  <c r="G57" i="4"/>
  <c r="K57" i="4"/>
  <c r="K56" i="4"/>
  <c r="G56" i="4" s="1"/>
  <c r="K65" i="4"/>
  <c r="G65" i="4" s="1"/>
  <c r="K68" i="4"/>
  <c r="G68" i="4" s="1"/>
  <c r="G72" i="4"/>
  <c r="K72" i="4"/>
  <c r="K66" i="4"/>
  <c r="G66" i="4" s="1"/>
  <c r="K67" i="4"/>
  <c r="G67" i="4" s="1"/>
  <c r="G69" i="4"/>
  <c r="K69" i="4"/>
  <c r="G75" i="4"/>
  <c r="K75" i="4"/>
  <c r="G70" i="4"/>
  <c r="K70" i="4"/>
  <c r="K77" i="4"/>
  <c r="G77" i="4" s="1"/>
  <c r="K78" i="4"/>
  <c r="G78" i="4" s="1"/>
  <c r="K73" i="4"/>
  <c r="G73" i="4" s="1"/>
  <c r="K79" i="4"/>
  <c r="G79" i="4" s="1"/>
  <c r="K74" i="4"/>
  <c r="G74" i="4" s="1"/>
  <c r="K80" i="4"/>
  <c r="G80" i="4" s="1"/>
  <c r="K82" i="4"/>
  <c r="G82" i="4" s="1"/>
  <c r="K59" i="4"/>
  <c r="G59" i="4" s="1"/>
  <c r="K130" i="4"/>
  <c r="G130" i="4" s="1"/>
  <c r="K58" i="4"/>
  <c r="G58" i="4" s="1"/>
  <c r="K86" i="4"/>
  <c r="G86" i="4" s="1"/>
  <c r="K85" i="4"/>
  <c r="G85" i="4" s="1"/>
  <c r="K88" i="4"/>
  <c r="G88" i="4" s="1"/>
  <c r="K92" i="4"/>
  <c r="G92" i="4" s="1"/>
  <c r="K93" i="4"/>
  <c r="G93" i="4" s="1"/>
  <c r="G90" i="4"/>
  <c r="K90" i="4"/>
  <c r="K94" i="4"/>
  <c r="G94" i="4" s="1"/>
  <c r="K97" i="4"/>
  <c r="G97" i="4" s="1"/>
  <c r="K25" i="4"/>
  <c r="K95" i="4"/>
  <c r="G95" i="4" s="1"/>
  <c r="K96" i="4"/>
  <c r="G96" i="4" s="1"/>
  <c r="K63" i="4"/>
  <c r="G63" i="4" s="1"/>
  <c r="K62" i="4"/>
  <c r="G62" i="4" s="1"/>
  <c r="G102" i="4"/>
  <c r="K102" i="4"/>
  <c r="G107" i="4"/>
  <c r="K107" i="4"/>
  <c r="K84" i="4"/>
  <c r="K111" i="4"/>
  <c r="G111" i="4" s="1"/>
  <c r="G104" i="4"/>
  <c r="K104" i="4"/>
  <c r="G108" i="4"/>
  <c r="K108" i="4"/>
  <c r="K103" i="4"/>
  <c r="G103" i="4" s="1"/>
  <c r="K143" i="4"/>
  <c r="G143" i="4" s="1"/>
  <c r="G25" i="4" l="1"/>
  <c r="G145" i="4" s="1"/>
  <c r="K83" i="4"/>
  <c r="K145" i="4" s="1"/>
  <c r="K98" i="4"/>
  <c r="K99" i="4"/>
  <c r="K100" i="4"/>
  <c r="K101" i="4"/>
  <c r="K106" i="4"/>
  <c r="K138" i="4"/>
  <c r="K139" i="4"/>
  <c r="K140" i="4"/>
  <c r="K141" i="4"/>
  <c r="E10" i="4"/>
  <c r="E19" i="4" s="1"/>
  <c r="E21" i="4" s="1"/>
  <c r="D10" i="4"/>
  <c r="G10" i="4"/>
  <c r="D16" i="4"/>
  <c r="D20" i="4"/>
  <c r="F9" i="4"/>
  <c r="G146" i="4" s="1"/>
  <c r="D19" i="4" l="1"/>
  <c r="D21" i="4" s="1"/>
  <c r="F10" i="4"/>
  <c r="F19" i="4" s="1"/>
</calcChain>
</file>

<file path=xl/sharedStrings.xml><?xml version="1.0" encoding="utf-8"?>
<sst xmlns="http://schemas.openxmlformats.org/spreadsheetml/2006/main" count="550" uniqueCount="273">
  <si>
    <t xml:space="preserve">ОТЧЕТ «Подари детям Жизнь» </t>
  </si>
  <si>
    <t>Дети</t>
  </si>
  <si>
    <t>USD</t>
  </si>
  <si>
    <t>Имя</t>
  </si>
  <si>
    <t>Год рождения</t>
  </si>
  <si>
    <t>Диагноз</t>
  </si>
  <si>
    <t>Дата операции</t>
  </si>
  <si>
    <t>Клиника</t>
  </si>
  <si>
    <t>Стоимость операции USD</t>
  </si>
  <si>
    <t>Стоимость операции, валюта</t>
  </si>
  <si>
    <t>Юдин Алексей</t>
  </si>
  <si>
    <t>Москва, Российская детская клиническая больница</t>
  </si>
  <si>
    <t>врожденный порок сердца</t>
  </si>
  <si>
    <t>Умбетов Руслан</t>
  </si>
  <si>
    <t>Томск, НИИ Кардиологии ТНЦ СО РАМН</t>
  </si>
  <si>
    <t>Нуртай Руслана</t>
  </si>
  <si>
    <t>долларов США</t>
  </si>
  <si>
    <t>Итого со счёта ОФ "ДОМ" с 2007 по настоящий момент</t>
  </si>
  <si>
    <t>Гололобов Иван</t>
  </si>
  <si>
    <t>вывих бедренных костей</t>
  </si>
  <si>
    <t>Санкт-Петерсбург, клиника им. Турнера</t>
  </si>
  <si>
    <t>гермафродитизм</t>
  </si>
  <si>
    <t>Клиника Аджибадем, Стамбул</t>
  </si>
  <si>
    <t>Частные спонсоры - оплата напрямую в клиники</t>
  </si>
  <si>
    <t>"Центр Тяжести", 2009</t>
  </si>
  <si>
    <t>деньги собирались на ЦТ, фонд "ДОМ" оказывал консультационную поддержку родителям, поэтому мы не включаем эти средства в общую сумму по акции "Подари детям жизнь"</t>
  </si>
  <si>
    <t>Мингали Асылхан</t>
  </si>
  <si>
    <t>172 900 российских рублей</t>
  </si>
  <si>
    <t>198 900 российских рублей</t>
  </si>
  <si>
    <t>остеосоркома</t>
  </si>
  <si>
    <t>194 310 российских рублей</t>
  </si>
  <si>
    <t>Вакасов Олжас</t>
  </si>
  <si>
    <t>Камерденов Камиль</t>
  </si>
  <si>
    <t>OU-ретинопатия</t>
  </si>
  <si>
    <t>Санкт-Петерсбург, детская клиническая больница</t>
  </si>
  <si>
    <t>Новосибирск, НИИ патологии крови им.ак.Е.Н.Мешалкина</t>
  </si>
  <si>
    <t>Осипов Алексей</t>
  </si>
  <si>
    <t>Итакова Амира</t>
  </si>
  <si>
    <t>228 180 российских рублей</t>
  </si>
  <si>
    <t>о перечисленных средствах за лечение детей на 31 декабря 2010</t>
  </si>
  <si>
    <t>EUR</t>
  </si>
  <si>
    <t>Всего со счёта ОФ "ДОМ" 2007 - 2010</t>
  </si>
  <si>
    <t>Частные спонсоры, 2010</t>
  </si>
  <si>
    <t>"Российский фонд Помощи", 2009</t>
  </si>
  <si>
    <t>"Российский фонд Помощи", 2010</t>
  </si>
  <si>
    <t>Фонд "Лидеры Казахстана", 2010</t>
  </si>
  <si>
    <t>Бесплатные операции клиники Бергамо в Казахстане, 2009</t>
  </si>
  <si>
    <t>Бесплатные операции в рамках сотрудничество с фондом "ДОМ", 2010</t>
  </si>
  <si>
    <t>ВСЕГО ПО АКЦИИ "ПОДАРИ ДЕТЯМ ЖИЗНЬ" 2007 - 2010</t>
  </si>
  <si>
    <t>Всего детей</t>
  </si>
  <si>
    <t>Акжол Амина</t>
  </si>
  <si>
    <t>Арипхан Алихан</t>
  </si>
  <si>
    <t>Жумамуратов Алибек</t>
  </si>
  <si>
    <t>Турчанинова Карина</t>
  </si>
  <si>
    <t>222 350 российских рублей</t>
  </si>
  <si>
    <t>Зубайрытеги Теисбай</t>
  </si>
  <si>
    <t>Бланкина Айжан</t>
  </si>
  <si>
    <t>193 180 российских рублей</t>
  </si>
  <si>
    <t>Дилдабекова Дилана</t>
  </si>
  <si>
    <t>229 350 российских рублей</t>
  </si>
  <si>
    <t>Харченко Татьяна</t>
  </si>
  <si>
    <t>143 270 российских рублей</t>
  </si>
  <si>
    <t>90 200 российских рублей</t>
  </si>
  <si>
    <t>Кажимурат Меиржан</t>
  </si>
  <si>
    <t>Аликанова Виктория</t>
  </si>
  <si>
    <t>Роман Эльхэм</t>
  </si>
  <si>
    <t>Арин Ибрагим</t>
  </si>
  <si>
    <t>Касымова Томирис</t>
  </si>
  <si>
    <t>168 150 российских рублей</t>
  </si>
  <si>
    <t>Туралиев Бекжан</t>
  </si>
  <si>
    <t>148 020 российских рублей</t>
  </si>
  <si>
    <t>Андрюков Александр</t>
  </si>
  <si>
    <t>150 320 российских рублей</t>
  </si>
  <si>
    <t>Чаплий Владимир</t>
  </si>
  <si>
    <t>156 860 российских рублей</t>
  </si>
  <si>
    <t>Каирканов Аманжан</t>
  </si>
  <si>
    <t>Цыганок Вадим</t>
  </si>
  <si>
    <t>Мендибай Нурасыл</t>
  </si>
  <si>
    <t>161 610 российских рублей</t>
  </si>
  <si>
    <t>Болатбекова Молдир</t>
  </si>
  <si>
    <t>405 115 российских рублей</t>
  </si>
  <si>
    <t>2010 - повторное обследование</t>
  </si>
  <si>
    <t>Шаубай Назерке</t>
  </si>
  <si>
    <t>207 400 российских рублей</t>
  </si>
  <si>
    <t>Атабаев Бекарыс</t>
  </si>
  <si>
    <t>217 430 российских рублей</t>
  </si>
  <si>
    <t>Ермуханбеткызы Мадина</t>
  </si>
  <si>
    <t>Рысдаулетова Сания</t>
  </si>
  <si>
    <t>218 200 российских рублей</t>
  </si>
  <si>
    <t>Гриненко Алексей</t>
  </si>
  <si>
    <t>атрезия пищевода</t>
  </si>
  <si>
    <t>2010 - 2 операция</t>
  </si>
  <si>
    <t>Барнаул, Алтайская краевая детская клиническая больница</t>
  </si>
  <si>
    <t>Ходько Владислав</t>
  </si>
  <si>
    <t>Шетенов Рамазан</t>
  </si>
  <si>
    <t>Нагорнова Александра</t>
  </si>
  <si>
    <t>Мурат Альданаз</t>
  </si>
  <si>
    <t>Карабек Нурбакыт</t>
  </si>
  <si>
    <t>2010 - обследование после операции</t>
  </si>
  <si>
    <t>33 000 российских рублей</t>
  </si>
  <si>
    <t>Головаха Георгий</t>
  </si>
  <si>
    <t>Бозтаев Нуржан</t>
  </si>
  <si>
    <t>112 800 российских рублей</t>
  </si>
  <si>
    <t>Ораз Адель</t>
  </si>
  <si>
    <t>154 560 российских рублей</t>
  </si>
  <si>
    <t>Абай Елжан</t>
  </si>
  <si>
    <t>Нургалиева Жанель</t>
  </si>
  <si>
    <t>9 100 российских рублей</t>
  </si>
  <si>
    <t>Ханболат Ануарбек</t>
  </si>
  <si>
    <t>Келдибаева Сатыгуль</t>
  </si>
  <si>
    <t>Кушенов Бекмуханбет</t>
  </si>
  <si>
    <t>118 500 росийских рублей</t>
  </si>
  <si>
    <t>Каттыбаев Ерасыл</t>
  </si>
  <si>
    <t>19 350 российских рублей</t>
  </si>
  <si>
    <t>Кулмуханова Каракоз</t>
  </si>
  <si>
    <t>Нурмадиев Аслан</t>
  </si>
  <si>
    <t>138 520 российских рублей</t>
  </si>
  <si>
    <t>Коледаев Егор</t>
  </si>
  <si>
    <t>Десятова Кира</t>
  </si>
  <si>
    <t>126 310 российских рублей</t>
  </si>
  <si>
    <t>224 600 российских рублей</t>
  </si>
  <si>
    <t>Султангазин Темиржан</t>
  </si>
  <si>
    <t>23 150 российских рублей</t>
  </si>
  <si>
    <t>Сади Сабыржан</t>
  </si>
  <si>
    <t>149 810 российских рублей</t>
  </si>
  <si>
    <t>Шабанов Вадим</t>
  </si>
  <si>
    <t>24 250 российских рублей</t>
  </si>
  <si>
    <t>Гусев Арсений</t>
  </si>
  <si>
    <t>Субсепсис Висслера Фанкони</t>
  </si>
  <si>
    <t>Новосибирская детская городская клиническая больница №1</t>
  </si>
  <si>
    <t>51 360 российских рублей</t>
  </si>
  <si>
    <t>Дигарбаев Айдын</t>
  </si>
  <si>
    <t>Нурлыбеккызы Аружан</t>
  </si>
  <si>
    <t>Клиника Аджибадем</t>
  </si>
  <si>
    <t>Мажит Инкар</t>
  </si>
  <si>
    <t>Исмаилова Руфина</t>
  </si>
  <si>
    <t>Маевский Кирилл</t>
  </si>
  <si>
    <t>161 100 российских рублей</t>
  </si>
  <si>
    <t>Полянская Риана</t>
  </si>
  <si>
    <t>Туканов Жанибек</t>
  </si>
  <si>
    <t>Тлеужанов Бекнур</t>
  </si>
  <si>
    <t>Шамаров Бегзад</t>
  </si>
  <si>
    <t>110 900 российских рублей</t>
  </si>
  <si>
    <t>Абаев Данияр</t>
  </si>
  <si>
    <t>Серикова Махаббат</t>
  </si>
  <si>
    <t>Даниярова Айсулу</t>
  </si>
  <si>
    <t>Мощенко Владислав</t>
  </si>
  <si>
    <t>Кравец Алексей</t>
  </si>
  <si>
    <t>Израиль Центр медицинских исследовании Шеба</t>
  </si>
  <si>
    <t xml:space="preserve">Баратова Шахноз </t>
  </si>
  <si>
    <t>Куанышпай Дильныз</t>
  </si>
  <si>
    <t>Самат Амина</t>
  </si>
  <si>
    <t>Ильясов Кирилл</t>
  </si>
  <si>
    <t>Кожанова Сымбат</t>
  </si>
  <si>
    <t>Калиуханова Айгерим</t>
  </si>
  <si>
    <t>Салимов Ислам</t>
  </si>
  <si>
    <t>406 115 российских рублей</t>
  </si>
  <si>
    <t>Плотникова Анжела</t>
  </si>
  <si>
    <t>212 500 российских рублей</t>
  </si>
  <si>
    <t>Кулмуханбет Алия</t>
  </si>
  <si>
    <t>Саматова Галия</t>
  </si>
  <si>
    <t>213 100 российских рублей</t>
  </si>
  <si>
    <t>Рахимов Абдулла</t>
  </si>
  <si>
    <t>159 310 российских рублей</t>
  </si>
  <si>
    <t>Ложкин Олег</t>
  </si>
  <si>
    <t>159 500 российских рублей</t>
  </si>
  <si>
    <t>142 016 российских рублей</t>
  </si>
  <si>
    <t>Дегтяренко Егор</t>
  </si>
  <si>
    <t>Мусаханова Томирис</t>
  </si>
  <si>
    <t>262 050 российских рублей</t>
  </si>
  <si>
    <t>Болат Нурбек</t>
  </si>
  <si>
    <t>457 050 российских рублей</t>
  </si>
  <si>
    <t>Давлетова Дамели</t>
  </si>
  <si>
    <t>263 000 российских рублей</t>
  </si>
  <si>
    <t>Сайлау Еркижан</t>
  </si>
  <si>
    <t xml:space="preserve"> 50 550 российских рублей</t>
  </si>
  <si>
    <t>Нускабаев Азамат</t>
  </si>
  <si>
    <t>88 600 российских рублей</t>
  </si>
  <si>
    <t>2010, 2-я операция</t>
  </si>
  <si>
    <t>245 115 российских рублей</t>
  </si>
  <si>
    <t>Амирбеков Нурасыл</t>
  </si>
  <si>
    <t>185 310 российских рублей</t>
  </si>
  <si>
    <t>Сатвалдиев Акбархан</t>
  </si>
  <si>
    <t>125 700 российских рублей</t>
  </si>
  <si>
    <t>Ерланова Толганай</t>
  </si>
  <si>
    <t>Кабдуалиев Ералы</t>
  </si>
  <si>
    <t>Берикова Айгерим</t>
  </si>
  <si>
    <t>190 210 российских рублей</t>
  </si>
  <si>
    <t>Манибек Нуралы</t>
  </si>
  <si>
    <t>Панцакова Вероника</t>
  </si>
  <si>
    <t>Толыкбаев Жаксалык</t>
  </si>
  <si>
    <t xml:space="preserve"> 145 000 российских рублей</t>
  </si>
  <si>
    <t>Ахмедуллаев Арман</t>
  </si>
  <si>
    <t>грыжа позвоночника, тромбофлибит правой ноги</t>
  </si>
  <si>
    <t>ФГУ "РНХИ"им.проф. А.Л.Поленова, Санкт-Петерсбург</t>
  </si>
  <si>
    <t>252 200 российских рублей</t>
  </si>
  <si>
    <t>Халбабаев Даниил</t>
  </si>
  <si>
    <t>Санкт-Петерсбург, Детская клиническая больница</t>
  </si>
  <si>
    <t>Мырзаш Алан</t>
  </si>
  <si>
    <t>Сапарбай Аружан</t>
  </si>
  <si>
    <t>207 010 российских рублей</t>
  </si>
  <si>
    <t>Насыров Рамазан</t>
  </si>
  <si>
    <t>244 650 российских рублей</t>
  </si>
  <si>
    <t>Нургали Айша</t>
  </si>
  <si>
    <t>189 010 российских рублей</t>
  </si>
  <si>
    <t>Сейтмуханбетов Ильяс</t>
  </si>
  <si>
    <t>185 720 российских рублей</t>
  </si>
  <si>
    <t>Гусейнова Соня</t>
  </si>
  <si>
    <t>264 350 российских рублей</t>
  </si>
  <si>
    <t>Абдухаликова Руфина</t>
  </si>
  <si>
    <t xml:space="preserve">диагностика </t>
  </si>
  <si>
    <t>Турганбай Диас</t>
  </si>
  <si>
    <t>Абишев Эмин</t>
  </si>
  <si>
    <t>Адбуали Дидар</t>
  </si>
  <si>
    <t>ВСЕГО ЗА 2010 ПО НАСТОЯЩИЙ МОМЕНТ</t>
  </si>
  <si>
    <t>Операции детям, оплаченные партнерами акции «Подари детям Жизнь» напрямую в клиники (суммы не указываем):</t>
  </si>
  <si>
    <t>Российский Фонд Помощи</t>
  </si>
  <si>
    <t>Целиков Максим</t>
  </si>
  <si>
    <t>Панковец Сергей</t>
  </si>
  <si>
    <t>Бутримова Алёна</t>
  </si>
  <si>
    <t xml:space="preserve">Макаренко Иван </t>
  </si>
  <si>
    <t>Крят Вероника</t>
  </si>
  <si>
    <t>Решетников Кирилл</t>
  </si>
  <si>
    <t>Фонд «Лидеры Казахстана»</t>
  </si>
  <si>
    <t>Лемиш Роман</t>
  </si>
  <si>
    <t>Кундуган Диана</t>
  </si>
  <si>
    <t>Какимжан Жулдыз</t>
  </si>
  <si>
    <t>Айтбаев Шохрияр</t>
  </si>
  <si>
    <t>Куандык Нурсезим</t>
  </si>
  <si>
    <t>Бесплатно прооперированный</t>
  </si>
  <si>
    <t>Шакирбеков Рамазан</t>
  </si>
  <si>
    <t>Сумма в тенге</t>
  </si>
  <si>
    <r>
      <t xml:space="preserve">Операции/курсы лечения </t>
    </r>
    <r>
      <rPr>
        <sz val="8"/>
        <rFont val="Verdana"/>
        <family val="2"/>
        <charset val="204"/>
      </rPr>
      <t>(некоторые дети были прооперированы 2 и более раз)</t>
    </r>
  </si>
  <si>
    <t>Партнёры (фонды и компании), 2007- 2009</t>
  </si>
  <si>
    <t>Частные спонсоры, 2007-2009</t>
  </si>
  <si>
    <t xml:space="preserve">Курс USD </t>
  </si>
  <si>
    <t xml:space="preserve">Примечания: 
1. Большинство оплат за лечение детей в зарубежные клиники производится в долларах. В период с 2007 по 2015 года отчет по тратам велся в долларах. С 2016 отчёт ведется в тенге  по курсу на день оплаты. Суммы оплат за период с 2007 по 2015 года пересчитаны в тенге по средне-годовому курсу. 
2. В отчете отражается сумма оплат, произведенных за лечение ребёнка в клинику. Итоговая фактическая сумма расходов отражается в актах выполненных работ от клиники. В случае, если стоимость лечение была немного ниже произведенной оплаты, остаток переводится на другого ребёнка. Если вы хотите получить подробный отчет с платежными документами, обратитесь к нам по электронной почте info@detdom.kz.
3. Количество оплаченных операций превышает количество детей, так как некоторым детям требовалось 2 и более операций с промежутком между операциями от нескольких месяцев до нескольких лет. </t>
  </si>
  <si>
    <t>Курс валюты на день оплаты</t>
  </si>
  <si>
    <t>Койлыбай Кызжибек</t>
  </si>
  <si>
    <t>36 850 руб.</t>
  </si>
  <si>
    <t>Тулегенов Диас</t>
  </si>
  <si>
    <t xml:space="preserve"> 3 200 российских рублей</t>
  </si>
  <si>
    <t>Мадьярова  Алия</t>
  </si>
  <si>
    <t>88 550 российских рублей</t>
  </si>
  <si>
    <t>Мадьяров Аслан</t>
  </si>
  <si>
    <t>143 074 российских рублей</t>
  </si>
  <si>
    <t>436 800 российских рублей</t>
  </si>
  <si>
    <t>227 050 российских рублей</t>
  </si>
  <si>
    <t>Сергеев Санжар</t>
  </si>
  <si>
    <t>205 365 российских рублей</t>
  </si>
  <si>
    <t>48 917,60 российских рублей</t>
  </si>
  <si>
    <t>Кушенов Алишер</t>
  </si>
  <si>
    <t>118 500 российских рублей</t>
  </si>
  <si>
    <t>163 400 российских рублей</t>
  </si>
  <si>
    <t>388 790 российских рублей</t>
  </si>
  <si>
    <t>Каратаев Аманжан</t>
  </si>
  <si>
    <t>194 666 российских рублей</t>
  </si>
  <si>
    <t>109 000 российских рублей</t>
  </si>
  <si>
    <t>Байбосынова Даяна</t>
  </si>
  <si>
    <t>161 610 руб.</t>
  </si>
  <si>
    <t>Айткалы Ерасыл</t>
  </si>
  <si>
    <t>172 900 руб.</t>
  </si>
  <si>
    <t>4 246 российских рублей</t>
  </si>
  <si>
    <t>29 200 российских рублей</t>
  </si>
  <si>
    <t>196 610 российских рублей</t>
  </si>
  <si>
    <t>Арганбай Санжар</t>
  </si>
  <si>
    <t>228 050 российских рублей</t>
  </si>
  <si>
    <t>122 493 российских рублей</t>
  </si>
  <si>
    <t>Новосибирск, Росмедтехнология ФГУ ННИИПК</t>
  </si>
  <si>
    <t>27 100 российских рублей</t>
  </si>
  <si>
    <t>32 600 российских рублей</t>
  </si>
  <si>
    <t>222 350 российских рублей (с перекидкой)</t>
  </si>
  <si>
    <t xml:space="preserve">операций в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</si>
</sst>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b/>
      <sz val="9"/>
      <name val="Arial Cyr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/>
    <xf numFmtId="0" fontId="2" fillId="0" borderId="0" xfId="0" applyFont="1" applyBorder="1" applyAlignment="1">
      <alignment horizontal="left" vertical="top" wrapTex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/>
    </xf>
    <xf numFmtId="3" fontId="6" fillId="4" borderId="5" xfId="0" applyNumberFormat="1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5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0" fillId="6" borderId="0" xfId="0" applyFill="1"/>
    <xf numFmtId="0" fontId="0" fillId="7" borderId="0" xfId="0" applyFill="1"/>
    <xf numFmtId="0" fontId="0" fillId="8" borderId="0" xfId="0" applyFill="1"/>
    <xf numFmtId="3" fontId="5" fillId="0" borderId="0" xfId="0" applyNumberFormat="1" applyFont="1" applyFill="1" applyBorder="1" applyAlignment="1">
      <alignment vertical="top" wrapText="1"/>
    </xf>
    <xf numFmtId="0" fontId="0" fillId="9" borderId="0" xfId="0" applyFill="1"/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6" fillId="5" borderId="0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right" vertical="top" wrapText="1"/>
    </xf>
    <xf numFmtId="0" fontId="0" fillId="9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6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3" fontId="6" fillId="4" borderId="15" xfId="0" applyNumberFormat="1" applyFont="1" applyFill="1" applyBorder="1" applyAlignment="1">
      <alignment horizontal="right" vertical="top" wrapText="1"/>
    </xf>
    <xf numFmtId="0" fontId="6" fillId="4" borderId="15" xfId="0" applyFont="1" applyFill="1" applyBorder="1" applyAlignment="1">
      <alignment vertical="top" wrapText="1"/>
    </xf>
    <xf numFmtId="0" fontId="6" fillId="4" borderId="13" xfId="0" applyFont="1" applyFill="1" applyBorder="1" applyAlignment="1">
      <alignment vertical="top" wrapText="1"/>
    </xf>
    <xf numFmtId="3" fontId="6" fillId="4" borderId="13" xfId="0" applyNumberFormat="1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/>
    </xf>
    <xf numFmtId="0" fontId="5" fillId="4" borderId="15" xfId="0" applyNumberFormat="1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0" fillId="10" borderId="0" xfId="0" applyFill="1"/>
    <xf numFmtId="0" fontId="0" fillId="9" borderId="0" xfId="0" applyFill="1" applyAlignment="1">
      <alignment vertical="center" wrapText="1"/>
    </xf>
    <xf numFmtId="0" fontId="5" fillId="7" borderId="0" xfId="0" applyFont="1" applyFill="1" applyAlignment="1">
      <alignment vertical="top"/>
    </xf>
    <xf numFmtId="0" fontId="0" fillId="7" borderId="0" xfId="0" applyFill="1" applyAlignment="1">
      <alignment vertical="top" wrapText="1"/>
    </xf>
    <xf numFmtId="0" fontId="5" fillId="11" borderId="0" xfId="0" applyFont="1" applyFill="1" applyAlignment="1">
      <alignment vertical="top"/>
    </xf>
    <xf numFmtId="0" fontId="5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3" fontId="5" fillId="11" borderId="0" xfId="0" applyNumberFormat="1" applyFont="1" applyFill="1" applyAlignment="1">
      <alignment vertical="top"/>
    </xf>
    <xf numFmtId="0" fontId="5" fillId="7" borderId="1" xfId="0" applyNumberFormat="1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3" fontId="5" fillId="7" borderId="1" xfId="0" applyNumberFormat="1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left" vertical="top"/>
    </xf>
    <xf numFmtId="3" fontId="5" fillId="7" borderId="1" xfId="0" applyNumberFormat="1" applyFont="1" applyFill="1" applyBorder="1" applyAlignment="1">
      <alignment vertical="top" wrapText="1"/>
    </xf>
    <xf numFmtId="3" fontId="5" fillId="7" borderId="0" xfId="0" applyNumberFormat="1" applyFont="1" applyFill="1" applyBorder="1" applyAlignment="1">
      <alignment vertical="top" wrapText="1"/>
    </xf>
    <xf numFmtId="0" fontId="5" fillId="7" borderId="6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vertical="top" wrapText="1"/>
    </xf>
    <xf numFmtId="0" fontId="5" fillId="7" borderId="4" xfId="0" applyFont="1" applyFill="1" applyBorder="1" applyAlignment="1">
      <alignment vertical="top" wrapText="1"/>
    </xf>
    <xf numFmtId="0" fontId="5" fillId="7" borderId="9" xfId="0" applyFont="1" applyFill="1" applyBorder="1" applyAlignment="1">
      <alignment vertical="top" wrapText="1"/>
    </xf>
    <xf numFmtId="3" fontId="5" fillId="7" borderId="9" xfId="0" applyNumberFormat="1" applyFont="1" applyFill="1" applyBorder="1" applyAlignment="1">
      <alignment vertical="top" wrapText="1"/>
    </xf>
    <xf numFmtId="3" fontId="5" fillId="7" borderId="4" xfId="0" applyNumberFormat="1" applyFont="1" applyFill="1" applyBorder="1" applyAlignment="1">
      <alignment vertical="top" wrapText="1"/>
    </xf>
    <xf numFmtId="0" fontId="5" fillId="7" borderId="2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/>
    </xf>
    <xf numFmtId="0" fontId="5" fillId="7" borderId="9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left" vertical="top" wrapText="1"/>
    </xf>
    <xf numFmtId="3" fontId="5" fillId="7" borderId="2" xfId="0" applyNumberFormat="1" applyFont="1" applyFill="1" applyBorder="1" applyAlignment="1">
      <alignment horizontal="right" vertical="top" wrapText="1"/>
    </xf>
    <xf numFmtId="0" fontId="5" fillId="7" borderId="16" xfId="0" applyFont="1" applyFill="1" applyBorder="1" applyAlignment="1">
      <alignment vertical="top" wrapText="1"/>
    </xf>
    <xf numFmtId="0" fontId="5" fillId="7" borderId="2" xfId="0" applyFont="1" applyFill="1" applyBorder="1" applyAlignment="1">
      <alignment horizontal="left" vertical="top"/>
    </xf>
    <xf numFmtId="0" fontId="5" fillId="7" borderId="16" xfId="0" applyFont="1" applyFill="1" applyBorder="1" applyAlignment="1">
      <alignment horizontal="left" vertical="top" wrapText="1"/>
    </xf>
    <xf numFmtId="3" fontId="5" fillId="7" borderId="9" xfId="0" applyNumberFormat="1" applyFont="1" applyFill="1" applyBorder="1" applyAlignment="1">
      <alignment horizontal="right" vertical="top" wrapText="1"/>
    </xf>
    <xf numFmtId="0" fontId="5" fillId="7" borderId="11" xfId="0" applyFont="1" applyFill="1" applyBorder="1" applyAlignment="1">
      <alignment vertical="top" wrapText="1"/>
    </xf>
    <xf numFmtId="3" fontId="5" fillId="7" borderId="11" xfId="0" applyNumberFormat="1" applyFont="1" applyFill="1" applyBorder="1" applyAlignment="1">
      <alignment vertical="top" wrapText="1"/>
    </xf>
    <xf numFmtId="0" fontId="5" fillId="7" borderId="9" xfId="0" applyFont="1" applyFill="1" applyBorder="1" applyAlignment="1">
      <alignment horizontal="left" vertical="top"/>
    </xf>
    <xf numFmtId="3" fontId="5" fillId="7" borderId="13" xfId="0" applyNumberFormat="1" applyFont="1" applyFill="1" applyBorder="1" applyAlignment="1">
      <alignment horizontal="right" vertical="top" wrapText="1"/>
    </xf>
    <xf numFmtId="0" fontId="5" fillId="7" borderId="13" xfId="0" applyFont="1" applyFill="1" applyBorder="1" applyAlignment="1">
      <alignment vertical="top" wrapText="1"/>
    </xf>
    <xf numFmtId="0" fontId="5" fillId="7" borderId="12" xfId="0" applyFont="1" applyFill="1" applyBorder="1" applyAlignment="1">
      <alignment horizontal="left" vertical="top"/>
    </xf>
    <xf numFmtId="0" fontId="5" fillId="7" borderId="12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3" fontId="5" fillId="7" borderId="12" xfId="0" applyNumberFormat="1" applyFont="1" applyFill="1" applyBorder="1" applyAlignment="1">
      <alignment horizontal="right" vertical="top" wrapText="1"/>
    </xf>
    <xf numFmtId="0" fontId="5" fillId="7" borderId="12" xfId="0" applyFont="1" applyFill="1" applyBorder="1" applyAlignment="1">
      <alignment vertical="top" wrapText="1"/>
    </xf>
    <xf numFmtId="3" fontId="5" fillId="7" borderId="12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0"/>
  <sheetViews>
    <sheetView tabSelected="1" topLeftCell="A137" zoomScale="85" zoomScaleNormal="85" workbookViewId="0">
      <selection activeCell="A25" sqref="A25:L144"/>
    </sheetView>
  </sheetViews>
  <sheetFormatPr defaultRowHeight="12.75" x14ac:dyDescent="0.2"/>
  <cols>
    <col min="1" max="1" width="5.42578125" style="11" customWidth="1"/>
    <col min="2" max="2" width="14.85546875" style="12" customWidth="1"/>
    <col min="3" max="3" width="7.7109375" style="13" customWidth="1"/>
    <col min="4" max="4" width="15" style="13" customWidth="1"/>
    <col min="5" max="5" width="10.140625" style="13" customWidth="1"/>
    <col min="6" max="6" width="18.7109375" style="13" customWidth="1"/>
    <col min="7" max="7" width="12.7109375" style="14" customWidth="1"/>
    <col min="8" max="10" width="12" style="15" customWidth="1"/>
    <col min="11" max="11" width="13.5703125" style="15" customWidth="1"/>
    <col min="12" max="12" width="10" style="16" customWidth="1"/>
  </cols>
  <sheetData>
    <row r="1" spans="1:21" ht="18.75" customHeight="1" x14ac:dyDescent="0.2">
      <c r="B1" s="163" t="s">
        <v>0</v>
      </c>
      <c r="C1" s="163"/>
      <c r="D1" s="163"/>
      <c r="E1" s="163"/>
      <c r="F1" s="163"/>
      <c r="G1" s="163"/>
      <c r="H1" s="163"/>
      <c r="I1" s="17"/>
      <c r="J1" s="111"/>
      <c r="K1" s="17"/>
    </row>
    <row r="2" spans="1:21" ht="18.75" customHeight="1" x14ac:dyDescent="0.2">
      <c r="B2" s="163" t="s">
        <v>39</v>
      </c>
      <c r="C2" s="163"/>
      <c r="D2" s="163"/>
      <c r="E2" s="163"/>
      <c r="F2" s="163"/>
      <c r="G2" s="163"/>
      <c r="H2" s="163"/>
      <c r="I2" s="17"/>
      <c r="J2" s="111"/>
      <c r="K2" s="17"/>
    </row>
    <row r="3" spans="1:21" ht="18.75" customHeight="1" x14ac:dyDescent="0.2">
      <c r="B3" s="17"/>
      <c r="C3" s="17"/>
      <c r="D3" s="17"/>
      <c r="E3" s="17"/>
      <c r="F3" s="17"/>
      <c r="G3" s="17"/>
      <c r="H3" s="17"/>
      <c r="I3" s="17"/>
      <c r="J3" s="111"/>
      <c r="K3" s="17"/>
    </row>
    <row r="4" spans="1:21" ht="156" customHeight="1" x14ac:dyDescent="0.2">
      <c r="A4" s="1"/>
      <c r="B4" s="165" t="s">
        <v>236</v>
      </c>
      <c r="C4" s="166"/>
      <c r="D4" s="166"/>
      <c r="E4" s="166"/>
      <c r="F4" s="166"/>
      <c r="G4" s="166"/>
      <c r="H4" s="166"/>
      <c r="I4" s="6"/>
      <c r="J4" s="108"/>
      <c r="K4" s="6"/>
      <c r="L4" s="6"/>
      <c r="M4" s="2"/>
      <c r="N4" s="2"/>
      <c r="O4" s="91"/>
      <c r="P4" s="3"/>
      <c r="Q4" s="3"/>
      <c r="R4" s="4"/>
      <c r="S4" s="5"/>
      <c r="T4" s="5"/>
      <c r="U4" s="5"/>
    </row>
    <row r="5" spans="1:21" ht="106.5" customHeight="1" x14ac:dyDescent="0.2">
      <c r="A5" s="18"/>
      <c r="B5" s="19"/>
      <c r="C5" s="19"/>
      <c r="D5" s="19" t="s">
        <v>1</v>
      </c>
      <c r="E5" s="19" t="s">
        <v>232</v>
      </c>
      <c r="F5" s="19" t="s">
        <v>2</v>
      </c>
      <c r="G5" s="19" t="s">
        <v>40</v>
      </c>
      <c r="H5" s="19"/>
      <c r="I5" s="19"/>
      <c r="J5" s="110"/>
      <c r="K5" s="19"/>
    </row>
    <row r="6" spans="1:21" s="8" customFormat="1" ht="18.75" customHeight="1" x14ac:dyDescent="0.2">
      <c r="A6" s="16"/>
      <c r="B6" s="20">
        <v>2007</v>
      </c>
      <c r="C6" s="21"/>
      <c r="D6" s="20">
        <v>9</v>
      </c>
      <c r="E6" s="20">
        <v>11</v>
      </c>
      <c r="F6" s="22">
        <v>154118</v>
      </c>
      <c r="G6" s="23"/>
      <c r="H6" s="25"/>
      <c r="I6" s="25"/>
      <c r="J6" s="25"/>
      <c r="K6" s="25"/>
      <c r="L6" s="16"/>
    </row>
    <row r="7" spans="1:21" s="8" customFormat="1" ht="18.75" customHeight="1" x14ac:dyDescent="0.2">
      <c r="A7" s="16"/>
      <c r="B7" s="20">
        <v>2008</v>
      </c>
      <c r="C7" s="21"/>
      <c r="D7" s="20">
        <v>44</v>
      </c>
      <c r="E7" s="20">
        <v>45</v>
      </c>
      <c r="F7" s="22">
        <v>333446</v>
      </c>
      <c r="G7" s="22">
        <v>3728</v>
      </c>
      <c r="H7" s="25"/>
      <c r="I7" s="25"/>
      <c r="J7" s="25"/>
      <c r="K7" s="25"/>
      <c r="L7" s="16"/>
    </row>
    <row r="8" spans="1:21" s="8" customFormat="1" ht="18.75" customHeight="1" x14ac:dyDescent="0.2">
      <c r="A8" s="16"/>
      <c r="B8" s="20">
        <v>2009</v>
      </c>
      <c r="C8" s="20"/>
      <c r="D8" s="20">
        <v>56</v>
      </c>
      <c r="E8" s="20">
        <v>58</v>
      </c>
      <c r="F8" s="22">
        <v>319410</v>
      </c>
      <c r="G8" s="23"/>
      <c r="H8" s="25"/>
      <c r="I8" s="25"/>
      <c r="J8" s="25"/>
      <c r="K8" s="25"/>
      <c r="L8" s="16"/>
    </row>
    <row r="9" spans="1:21" s="8" customFormat="1" ht="18.75" customHeight="1" x14ac:dyDescent="0.2">
      <c r="A9" s="16"/>
      <c r="B9" s="20">
        <v>2010</v>
      </c>
      <c r="C9" s="20"/>
      <c r="D9" s="20">
        <v>111</v>
      </c>
      <c r="E9" s="20">
        <v>117</v>
      </c>
      <c r="F9" s="22">
        <f>G145</f>
        <v>719142.25689795904</v>
      </c>
      <c r="G9" s="23"/>
      <c r="H9" s="25"/>
      <c r="I9" s="25"/>
      <c r="J9" s="25"/>
      <c r="K9" s="25"/>
      <c r="L9" s="16"/>
    </row>
    <row r="10" spans="1:21" s="7" customFormat="1" ht="22.5" customHeight="1" x14ac:dyDescent="0.2">
      <c r="A10" s="26"/>
      <c r="B10" s="27" t="s">
        <v>41</v>
      </c>
      <c r="C10" s="27"/>
      <c r="D10" s="27">
        <f>SUM(D6:D9)</f>
        <v>220</v>
      </c>
      <c r="E10" s="27">
        <f>SUM(E6:E9)</f>
        <v>231</v>
      </c>
      <c r="F10" s="28">
        <f>SUM(F6:F9)</f>
        <v>1526116.2568979589</v>
      </c>
      <c r="G10" s="28">
        <f>SUM(G6:G9)</f>
        <v>3728</v>
      </c>
      <c r="H10" s="30"/>
      <c r="I10" s="30"/>
      <c r="J10" s="30"/>
      <c r="K10" s="30"/>
      <c r="L10" s="26"/>
    </row>
    <row r="11" spans="1:21" s="7" customFormat="1" ht="28.5" customHeight="1" x14ac:dyDescent="0.2">
      <c r="A11" s="26"/>
      <c r="B11" s="164" t="s">
        <v>234</v>
      </c>
      <c r="C11" s="164"/>
      <c r="D11" s="31">
        <v>17</v>
      </c>
      <c r="E11" s="31">
        <v>17</v>
      </c>
      <c r="F11" s="32">
        <v>94981</v>
      </c>
      <c r="G11" s="29"/>
      <c r="H11" s="30"/>
      <c r="I11" s="30"/>
      <c r="J11" s="30"/>
      <c r="K11" s="30"/>
      <c r="L11" s="26"/>
    </row>
    <row r="12" spans="1:21" s="7" customFormat="1" ht="38.25" customHeight="1" x14ac:dyDescent="0.2">
      <c r="A12" s="26"/>
      <c r="B12" s="164" t="s">
        <v>233</v>
      </c>
      <c r="C12" s="164"/>
      <c r="D12" s="31">
        <v>8</v>
      </c>
      <c r="E12" s="31">
        <v>8</v>
      </c>
      <c r="F12" s="32">
        <v>27849</v>
      </c>
      <c r="G12" s="29"/>
      <c r="H12" s="30"/>
      <c r="I12" s="30"/>
      <c r="J12" s="30"/>
      <c r="K12" s="30"/>
      <c r="L12" s="26"/>
    </row>
    <row r="13" spans="1:21" s="7" customFormat="1" ht="30.75" customHeight="1" x14ac:dyDescent="0.2">
      <c r="A13" s="26"/>
      <c r="B13" s="164" t="s">
        <v>43</v>
      </c>
      <c r="C13" s="164"/>
      <c r="D13" s="31">
        <v>14</v>
      </c>
      <c r="E13" s="31">
        <v>15</v>
      </c>
      <c r="F13" s="32">
        <v>51541</v>
      </c>
      <c r="G13" s="29"/>
      <c r="H13" s="30"/>
      <c r="I13" s="30"/>
      <c r="J13" s="30"/>
      <c r="K13" s="30"/>
      <c r="L13" s="26"/>
    </row>
    <row r="14" spans="1:21" s="7" customFormat="1" ht="39" customHeight="1" x14ac:dyDescent="0.2">
      <c r="A14" s="26"/>
      <c r="B14" s="164" t="s">
        <v>46</v>
      </c>
      <c r="C14" s="164"/>
      <c r="D14" s="31">
        <v>17</v>
      </c>
      <c r="E14" s="31">
        <v>17</v>
      </c>
      <c r="F14" s="27"/>
      <c r="G14" s="29"/>
      <c r="H14" s="30"/>
      <c r="I14" s="30"/>
      <c r="J14" s="30"/>
      <c r="K14" s="30"/>
      <c r="L14" s="26"/>
    </row>
    <row r="15" spans="1:21" s="7" customFormat="1" ht="31.5" customHeight="1" x14ac:dyDescent="0.2">
      <c r="A15" s="26"/>
      <c r="B15" s="164" t="s">
        <v>44</v>
      </c>
      <c r="C15" s="164"/>
      <c r="D15" s="31">
        <v>6</v>
      </c>
      <c r="E15" s="31">
        <v>6</v>
      </c>
      <c r="F15" s="27"/>
      <c r="G15" s="29"/>
      <c r="H15" s="30"/>
      <c r="I15" s="30"/>
      <c r="J15" s="30"/>
      <c r="K15" s="30"/>
      <c r="L15" s="26"/>
    </row>
    <row r="16" spans="1:21" s="8" customFormat="1" ht="30" customHeight="1" x14ac:dyDescent="0.2">
      <c r="A16" s="16"/>
      <c r="B16" s="171" t="s">
        <v>42</v>
      </c>
      <c r="C16" s="171"/>
      <c r="D16" s="20">
        <f>2+4-2</f>
        <v>4</v>
      </c>
      <c r="E16" s="20">
        <v>4</v>
      </c>
      <c r="F16" s="22"/>
      <c r="G16" s="24"/>
      <c r="H16" s="25"/>
      <c r="I16" s="25"/>
      <c r="J16" s="25"/>
      <c r="K16" s="25"/>
      <c r="L16" s="16"/>
    </row>
    <row r="17" spans="1:21" s="8" customFormat="1" ht="25.5" customHeight="1" x14ac:dyDescent="0.2">
      <c r="A17" s="16"/>
      <c r="B17" s="171" t="s">
        <v>45</v>
      </c>
      <c r="C17" s="171"/>
      <c r="D17" s="20">
        <v>1</v>
      </c>
      <c r="E17" s="22">
        <v>1</v>
      </c>
      <c r="F17" s="17"/>
      <c r="G17" s="24"/>
      <c r="H17" s="25"/>
      <c r="I17" s="25"/>
      <c r="J17" s="25"/>
      <c r="K17" s="25"/>
      <c r="L17" s="16"/>
    </row>
    <row r="18" spans="1:21" s="8" customFormat="1" ht="54.75" customHeight="1" x14ac:dyDescent="0.2">
      <c r="A18" s="16"/>
      <c r="B18" s="171" t="s">
        <v>47</v>
      </c>
      <c r="C18" s="171"/>
      <c r="D18" s="20">
        <v>1</v>
      </c>
      <c r="E18" s="22">
        <v>1</v>
      </c>
      <c r="F18" s="17"/>
      <c r="G18" s="24"/>
      <c r="H18" s="25"/>
      <c r="I18" s="25"/>
      <c r="J18" s="25"/>
      <c r="K18" s="25"/>
      <c r="L18" s="16"/>
    </row>
    <row r="19" spans="1:21" s="8" customFormat="1" ht="40.5" customHeight="1" x14ac:dyDescent="0.2">
      <c r="A19" s="33"/>
      <c r="B19" s="172" t="s">
        <v>48</v>
      </c>
      <c r="C19" s="172"/>
      <c r="D19" s="19">
        <f>SUM(D10:D18)</f>
        <v>288</v>
      </c>
      <c r="E19" s="34">
        <f>SUM(E10:E18)</f>
        <v>300</v>
      </c>
      <c r="F19" s="34">
        <f>SUM(F10:F18)</f>
        <v>1700487.2568979589</v>
      </c>
      <c r="G19" s="65"/>
      <c r="H19" s="66"/>
      <c r="I19" s="66"/>
      <c r="J19" s="66"/>
      <c r="K19" s="66"/>
      <c r="L19" s="16"/>
    </row>
    <row r="20" spans="1:21" s="8" customFormat="1" ht="72.75" customHeight="1" x14ac:dyDescent="0.2">
      <c r="A20" s="26"/>
      <c r="B20" s="31" t="s">
        <v>24</v>
      </c>
      <c r="C20" s="31"/>
      <c r="D20" s="31">
        <f>13</f>
        <v>13</v>
      </c>
      <c r="E20" s="31">
        <v>13</v>
      </c>
      <c r="F20" s="32">
        <v>78500</v>
      </c>
      <c r="G20" s="164" t="s">
        <v>25</v>
      </c>
      <c r="H20" s="173"/>
      <c r="I20" s="173"/>
      <c r="J20" s="109"/>
      <c r="K20" s="31"/>
      <c r="L20" s="16"/>
    </row>
    <row r="21" spans="1:21" s="8" customFormat="1" ht="19.5" customHeight="1" x14ac:dyDescent="0.2">
      <c r="A21" s="26"/>
      <c r="B21" s="27" t="s">
        <v>49</v>
      </c>
      <c r="C21" s="27"/>
      <c r="D21" s="27">
        <f>D20+D19</f>
        <v>301</v>
      </c>
      <c r="E21" s="28">
        <f>SUM(E19+E20)</f>
        <v>313</v>
      </c>
      <c r="F21" s="95"/>
      <c r="G21" s="95"/>
      <c r="H21" s="95"/>
      <c r="I21" s="95"/>
      <c r="J21" s="95"/>
      <c r="K21" s="95"/>
      <c r="L21" s="16"/>
    </row>
    <row r="22" spans="1:21" ht="18.75" customHeight="1" x14ac:dyDescent="0.2">
      <c r="B22" s="17"/>
      <c r="C22" s="17"/>
      <c r="D22" s="17"/>
      <c r="E22" s="17"/>
      <c r="F22" s="17"/>
      <c r="G22" s="17"/>
      <c r="H22" s="17"/>
      <c r="I22" s="17"/>
      <c r="J22" s="111"/>
      <c r="K22" s="17"/>
    </row>
    <row r="23" spans="1:21" ht="53.25" customHeight="1" x14ac:dyDescent="0.2">
      <c r="A23" s="35"/>
      <c r="B23" s="36" t="s">
        <v>3</v>
      </c>
      <c r="C23" s="37" t="s">
        <v>4</v>
      </c>
      <c r="D23" s="37" t="s">
        <v>5</v>
      </c>
      <c r="E23" s="37" t="s">
        <v>6</v>
      </c>
      <c r="F23" s="37" t="s">
        <v>7</v>
      </c>
      <c r="G23" s="38" t="s">
        <v>8</v>
      </c>
      <c r="H23" s="39" t="s">
        <v>9</v>
      </c>
      <c r="I23" s="105" t="s">
        <v>235</v>
      </c>
      <c r="J23" s="118" t="s">
        <v>237</v>
      </c>
      <c r="K23" s="105" t="s">
        <v>231</v>
      </c>
      <c r="L23" s="15" t="s">
        <v>272</v>
      </c>
    </row>
    <row r="24" spans="1:21" s="10" customFormat="1" ht="23.25" customHeight="1" x14ac:dyDescent="0.2">
      <c r="A24" s="40"/>
      <c r="B24" s="19">
        <v>2010</v>
      </c>
      <c r="C24" s="41"/>
      <c r="D24" s="41"/>
      <c r="E24" s="41"/>
      <c r="F24" s="41"/>
      <c r="G24" s="41"/>
      <c r="H24" s="42"/>
      <c r="I24" s="41"/>
      <c r="J24" s="41"/>
      <c r="K24" s="41"/>
      <c r="L24" s="16"/>
    </row>
    <row r="25" spans="1:21" s="106" customFormat="1" ht="35.450000000000003" customHeight="1" x14ac:dyDescent="0.2">
      <c r="A25" s="132">
        <v>179</v>
      </c>
      <c r="B25" s="138" t="s">
        <v>50</v>
      </c>
      <c r="C25" s="131">
        <v>2009</v>
      </c>
      <c r="D25" s="132" t="s">
        <v>12</v>
      </c>
      <c r="E25" s="131">
        <v>2009</v>
      </c>
      <c r="F25" s="132" t="s">
        <v>14</v>
      </c>
      <c r="G25" s="133">
        <f>K25/I25</f>
        <v>7521.9965986394554</v>
      </c>
      <c r="H25" s="139" t="s">
        <v>247</v>
      </c>
      <c r="I25" s="140">
        <v>147</v>
      </c>
      <c r="J25" s="140">
        <v>4.87</v>
      </c>
      <c r="K25" s="141">
        <f>227050*J25</f>
        <v>1105733.5</v>
      </c>
      <c r="L25" s="125">
        <v>185</v>
      </c>
      <c r="M25" s="126"/>
      <c r="N25" s="126"/>
      <c r="O25" s="126"/>
      <c r="P25" s="126"/>
      <c r="Q25" s="126"/>
      <c r="R25" s="126"/>
      <c r="S25" s="126"/>
      <c r="T25" s="126"/>
      <c r="U25" s="126"/>
    </row>
    <row r="26" spans="1:21" s="106" customFormat="1" ht="35.450000000000003" customHeight="1" x14ac:dyDescent="0.2">
      <c r="A26" s="132">
        <v>180</v>
      </c>
      <c r="B26" s="138" t="s">
        <v>51</v>
      </c>
      <c r="C26" s="131"/>
      <c r="D26" s="132" t="s">
        <v>12</v>
      </c>
      <c r="E26" s="131">
        <v>2009</v>
      </c>
      <c r="F26" s="132" t="s">
        <v>14</v>
      </c>
      <c r="G26" s="133">
        <f>K26/I26</f>
        <v>7351.1632653061224</v>
      </c>
      <c r="H26" s="139" t="s">
        <v>54</v>
      </c>
      <c r="I26" s="140">
        <v>147</v>
      </c>
      <c r="J26" s="140">
        <v>4.8600000000000003</v>
      </c>
      <c r="K26" s="141">
        <f>222350*J26</f>
        <v>1080621</v>
      </c>
      <c r="L26" s="125">
        <v>186</v>
      </c>
      <c r="M26" s="126"/>
      <c r="N26" s="126"/>
      <c r="O26" s="126"/>
      <c r="P26" s="126"/>
      <c r="Q26" s="126"/>
      <c r="R26" s="126"/>
      <c r="S26" s="126"/>
      <c r="T26" s="126"/>
      <c r="U26" s="126"/>
    </row>
    <row r="27" spans="1:21" s="106" customFormat="1" ht="35.450000000000003" customHeight="1" x14ac:dyDescent="0.2">
      <c r="A27" s="132">
        <v>181</v>
      </c>
      <c r="B27" s="138" t="s">
        <v>52</v>
      </c>
      <c r="C27" s="131"/>
      <c r="D27" s="132" t="s">
        <v>12</v>
      </c>
      <c r="E27" s="131">
        <v>2009</v>
      </c>
      <c r="F27" s="132" t="s">
        <v>14</v>
      </c>
      <c r="G27" s="133">
        <f>K27/I27</f>
        <v>7816.6224489795923</v>
      </c>
      <c r="H27" s="139" t="s">
        <v>59</v>
      </c>
      <c r="I27" s="140">
        <v>147</v>
      </c>
      <c r="J27" s="140">
        <v>5.01</v>
      </c>
      <c r="K27" s="141">
        <f>229350*J27</f>
        <v>1149043.5</v>
      </c>
      <c r="L27" s="125">
        <v>187</v>
      </c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s="106" customFormat="1" ht="35.450000000000003" customHeight="1" x14ac:dyDescent="0.2">
      <c r="A28" s="132">
        <v>182</v>
      </c>
      <c r="B28" s="138" t="s">
        <v>53</v>
      </c>
      <c r="C28" s="131">
        <v>2009</v>
      </c>
      <c r="D28" s="132" t="s">
        <v>12</v>
      </c>
      <c r="E28" s="131">
        <v>2009</v>
      </c>
      <c r="F28" s="132" t="s">
        <v>14</v>
      </c>
      <c r="G28" s="133">
        <f>K28/I28</f>
        <v>7880.5680272108848</v>
      </c>
      <c r="H28" s="139" t="s">
        <v>54</v>
      </c>
      <c r="I28" s="140">
        <v>147</v>
      </c>
      <c r="J28" s="140">
        <v>5.21</v>
      </c>
      <c r="K28" s="141">
        <f>222350*J28</f>
        <v>1158443.5</v>
      </c>
      <c r="L28" s="125">
        <v>188</v>
      </c>
      <c r="M28" s="126"/>
      <c r="N28" s="126"/>
      <c r="O28" s="126"/>
      <c r="P28" s="126"/>
      <c r="Q28" s="126"/>
      <c r="R28" s="126"/>
      <c r="S28" s="126"/>
      <c r="T28" s="126"/>
      <c r="U28" s="126"/>
    </row>
    <row r="29" spans="1:21" s="106" customFormat="1" ht="35.450000000000003" customHeight="1" x14ac:dyDescent="0.2">
      <c r="A29" s="132">
        <v>183</v>
      </c>
      <c r="B29" s="138" t="s">
        <v>55</v>
      </c>
      <c r="C29" s="131">
        <v>2009</v>
      </c>
      <c r="D29" s="132" t="s">
        <v>12</v>
      </c>
      <c r="E29" s="131">
        <v>2010</v>
      </c>
      <c r="F29" s="132" t="s">
        <v>14</v>
      </c>
      <c r="G29" s="133">
        <f t="shared" ref="G29:G41" si="0">K29/I29</f>
        <v>6457.2857142857147</v>
      </c>
      <c r="H29" s="139" t="s">
        <v>27</v>
      </c>
      <c r="I29" s="140">
        <v>147</v>
      </c>
      <c r="J29" s="140">
        <v>5.49</v>
      </c>
      <c r="K29" s="141">
        <f>172900*J29</f>
        <v>949221</v>
      </c>
      <c r="L29" s="125">
        <v>189</v>
      </c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07" customFormat="1" ht="35.450000000000003" customHeight="1" x14ac:dyDescent="0.2">
      <c r="A30" s="132">
        <v>184</v>
      </c>
      <c r="B30" s="138" t="s">
        <v>56</v>
      </c>
      <c r="C30" s="131">
        <v>2003</v>
      </c>
      <c r="D30" s="132" t="s">
        <v>12</v>
      </c>
      <c r="E30" s="131">
        <v>2010</v>
      </c>
      <c r="F30" s="132" t="s">
        <v>14</v>
      </c>
      <c r="G30" s="133">
        <f t="shared" si="0"/>
        <v>1082.5850340136055</v>
      </c>
      <c r="H30" s="139" t="s">
        <v>263</v>
      </c>
      <c r="I30" s="140">
        <v>147</v>
      </c>
      <c r="J30" s="140">
        <v>5.45</v>
      </c>
      <c r="K30" s="141">
        <f>29200*J30</f>
        <v>159140</v>
      </c>
      <c r="L30" s="125">
        <v>190</v>
      </c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06" customFormat="1" ht="35.450000000000003" customHeight="1" x14ac:dyDescent="0.2">
      <c r="A31" s="132">
        <v>185</v>
      </c>
      <c r="B31" s="138" t="s">
        <v>58</v>
      </c>
      <c r="C31" s="131">
        <v>2009</v>
      </c>
      <c r="D31" s="132" t="s">
        <v>12</v>
      </c>
      <c r="E31" s="131">
        <v>2010</v>
      </c>
      <c r="F31" s="132" t="s">
        <v>14</v>
      </c>
      <c r="G31" s="133">
        <f t="shared" si="0"/>
        <v>7629.3979591836733</v>
      </c>
      <c r="H31" s="139" t="s">
        <v>59</v>
      </c>
      <c r="I31" s="140">
        <v>147</v>
      </c>
      <c r="J31" s="140">
        <v>4.8899999999999997</v>
      </c>
      <c r="K31" s="141">
        <f>229350*J31</f>
        <v>1121521.5</v>
      </c>
      <c r="L31" s="125">
        <v>191</v>
      </c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s="106" customFormat="1" ht="35.450000000000003" customHeight="1" x14ac:dyDescent="0.2">
      <c r="A32" s="132">
        <v>186</v>
      </c>
      <c r="B32" s="138" t="s">
        <v>60</v>
      </c>
      <c r="C32" s="131">
        <v>2002</v>
      </c>
      <c r="D32" s="132" t="s">
        <v>12</v>
      </c>
      <c r="E32" s="131">
        <v>2010</v>
      </c>
      <c r="F32" s="132" t="s">
        <v>14</v>
      </c>
      <c r="G32" s="133">
        <f t="shared" si="0"/>
        <v>5350.6959183673471</v>
      </c>
      <c r="H32" s="142" t="s">
        <v>61</v>
      </c>
      <c r="I32" s="140">
        <v>147</v>
      </c>
      <c r="J32" s="140">
        <v>5.49</v>
      </c>
      <c r="K32" s="141">
        <f>143270*J32</f>
        <v>786552.3</v>
      </c>
      <c r="L32" s="125">
        <v>192</v>
      </c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s="106" customFormat="1" ht="35.450000000000003" customHeight="1" x14ac:dyDescent="0.2">
      <c r="A33" s="132">
        <v>187</v>
      </c>
      <c r="B33" s="138" t="s">
        <v>37</v>
      </c>
      <c r="C33" s="131">
        <v>2009</v>
      </c>
      <c r="D33" s="132" t="s">
        <v>12</v>
      </c>
      <c r="E33" s="131">
        <v>2010</v>
      </c>
      <c r="F33" s="132" t="s">
        <v>14</v>
      </c>
      <c r="G33" s="133">
        <f t="shared" si="0"/>
        <v>3430.0544217687075</v>
      </c>
      <c r="H33" s="142" t="s">
        <v>62</v>
      </c>
      <c r="I33" s="140">
        <v>147</v>
      </c>
      <c r="J33" s="140">
        <v>5.59</v>
      </c>
      <c r="K33" s="141">
        <f>90200*J33</f>
        <v>504218</v>
      </c>
      <c r="L33" s="125">
        <v>193</v>
      </c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s="112" customFormat="1" ht="35.450000000000003" customHeight="1" x14ac:dyDescent="0.2">
      <c r="A34" s="132">
        <v>188</v>
      </c>
      <c r="B34" s="138" t="s">
        <v>63</v>
      </c>
      <c r="C34" s="131">
        <v>2009</v>
      </c>
      <c r="D34" s="132" t="s">
        <v>12</v>
      </c>
      <c r="E34" s="131">
        <v>2010</v>
      </c>
      <c r="F34" s="132" t="s">
        <v>14</v>
      </c>
      <c r="G34" s="133">
        <f t="shared" si="0"/>
        <v>6574.9047619047615</v>
      </c>
      <c r="H34" s="142" t="s">
        <v>27</v>
      </c>
      <c r="I34" s="140">
        <v>147</v>
      </c>
      <c r="J34" s="140">
        <v>5.59</v>
      </c>
      <c r="K34" s="141">
        <f>172900*J34</f>
        <v>966511</v>
      </c>
      <c r="L34" s="125">
        <v>194</v>
      </c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s="112" customFormat="1" ht="35.450000000000003" customHeight="1" x14ac:dyDescent="0.2">
      <c r="A35" s="132">
        <v>189</v>
      </c>
      <c r="B35" s="138" t="s">
        <v>64</v>
      </c>
      <c r="C35" s="131">
        <v>2009</v>
      </c>
      <c r="D35" s="132" t="s">
        <v>12</v>
      </c>
      <c r="E35" s="131">
        <v>2010</v>
      </c>
      <c r="F35" s="132" t="s">
        <v>14</v>
      </c>
      <c r="G35" s="133">
        <f t="shared" si="0"/>
        <v>6574.9047619047615</v>
      </c>
      <c r="H35" s="142" t="s">
        <v>27</v>
      </c>
      <c r="I35" s="140">
        <v>147</v>
      </c>
      <c r="J35" s="140">
        <v>5.59</v>
      </c>
      <c r="K35" s="141">
        <f>172900*J35</f>
        <v>966511</v>
      </c>
      <c r="L35" s="125">
        <v>195</v>
      </c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s="112" customFormat="1" ht="35.450000000000003" customHeight="1" x14ac:dyDescent="0.2">
      <c r="A36" s="132">
        <v>190</v>
      </c>
      <c r="B36" s="138" t="s">
        <v>65</v>
      </c>
      <c r="C36" s="131">
        <v>2009</v>
      </c>
      <c r="D36" s="132" t="s">
        <v>12</v>
      </c>
      <c r="E36" s="131">
        <v>2010</v>
      </c>
      <c r="F36" s="132" t="s">
        <v>14</v>
      </c>
      <c r="G36" s="133">
        <f t="shared" si="0"/>
        <v>6574.9047619047615</v>
      </c>
      <c r="H36" s="142" t="s">
        <v>27</v>
      </c>
      <c r="I36" s="140">
        <v>147</v>
      </c>
      <c r="J36" s="140">
        <v>5.59</v>
      </c>
      <c r="K36" s="141">
        <f>172900*J36</f>
        <v>966511</v>
      </c>
      <c r="L36" s="125">
        <v>196</v>
      </c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s="106" customFormat="1" ht="35.450000000000003" customHeight="1" x14ac:dyDescent="0.2">
      <c r="A37" s="132">
        <v>191</v>
      </c>
      <c r="B37" s="138" t="s">
        <v>66</v>
      </c>
      <c r="C37" s="131">
        <v>2009</v>
      </c>
      <c r="D37" s="132" t="s">
        <v>12</v>
      </c>
      <c r="E37" s="131">
        <v>2010</v>
      </c>
      <c r="F37" s="132" t="s">
        <v>14</v>
      </c>
      <c r="G37" s="133">
        <f t="shared" si="0"/>
        <v>6339.666666666667</v>
      </c>
      <c r="H37" s="142" t="s">
        <v>27</v>
      </c>
      <c r="I37" s="140">
        <v>147</v>
      </c>
      <c r="J37" s="140">
        <v>5.39</v>
      </c>
      <c r="K37" s="141">
        <f>172900*J37</f>
        <v>931931</v>
      </c>
      <c r="L37" s="125">
        <v>197</v>
      </c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s="106" customFormat="1" ht="35.450000000000003" customHeight="1" x14ac:dyDescent="0.2">
      <c r="A38" s="132">
        <v>192</v>
      </c>
      <c r="B38" s="138" t="s">
        <v>67</v>
      </c>
      <c r="C38" s="131">
        <v>2009</v>
      </c>
      <c r="D38" s="132" t="s">
        <v>12</v>
      </c>
      <c r="E38" s="131">
        <v>2010</v>
      </c>
      <c r="F38" s="132" t="s">
        <v>14</v>
      </c>
      <c r="G38" s="133">
        <f t="shared" si="0"/>
        <v>6165.5</v>
      </c>
      <c r="H38" s="142" t="s">
        <v>68</v>
      </c>
      <c r="I38" s="140">
        <v>147</v>
      </c>
      <c r="J38" s="140">
        <v>5.39</v>
      </c>
      <c r="K38" s="141">
        <f>168150*J38</f>
        <v>906328.5</v>
      </c>
      <c r="L38" s="125">
        <v>198</v>
      </c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s="106" customFormat="1" ht="35.450000000000003" customHeight="1" x14ac:dyDescent="0.2">
      <c r="A39" s="132">
        <v>193</v>
      </c>
      <c r="B39" s="138" t="s">
        <v>69</v>
      </c>
      <c r="C39" s="131">
        <v>1998</v>
      </c>
      <c r="D39" s="132" t="s">
        <v>12</v>
      </c>
      <c r="E39" s="131">
        <v>2010</v>
      </c>
      <c r="F39" s="132" t="s">
        <v>14</v>
      </c>
      <c r="G39" s="133">
        <f t="shared" si="0"/>
        <v>5628.7877551020401</v>
      </c>
      <c r="H39" s="142" t="s">
        <v>70</v>
      </c>
      <c r="I39" s="140">
        <v>147</v>
      </c>
      <c r="J39" s="140">
        <v>5.59</v>
      </c>
      <c r="K39" s="141">
        <f>148020*J39</f>
        <v>827431.79999999993</v>
      </c>
      <c r="L39" s="125">
        <v>199</v>
      </c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1" s="106" customFormat="1" ht="35.450000000000003" customHeight="1" x14ac:dyDescent="0.2">
      <c r="A40" s="132">
        <v>194</v>
      </c>
      <c r="B40" s="138" t="s">
        <v>71</v>
      </c>
      <c r="C40" s="131">
        <v>2004</v>
      </c>
      <c r="D40" s="132" t="s">
        <v>12</v>
      </c>
      <c r="E40" s="131">
        <v>2010</v>
      </c>
      <c r="F40" s="132" t="s">
        <v>14</v>
      </c>
      <c r="G40" s="133">
        <f t="shared" si="0"/>
        <v>5153.8285714285721</v>
      </c>
      <c r="H40" s="142" t="s">
        <v>72</v>
      </c>
      <c r="I40" s="140">
        <v>147</v>
      </c>
      <c r="J40" s="140">
        <v>5.04</v>
      </c>
      <c r="K40" s="141">
        <f>150320*J40</f>
        <v>757612.8</v>
      </c>
      <c r="L40" s="125">
        <v>200</v>
      </c>
      <c r="M40" s="126"/>
      <c r="N40" s="126"/>
      <c r="O40" s="126"/>
      <c r="P40" s="126"/>
      <c r="Q40" s="126"/>
      <c r="R40" s="126"/>
      <c r="S40" s="126"/>
      <c r="T40" s="126"/>
      <c r="U40" s="126"/>
    </row>
    <row r="41" spans="1:21" s="106" customFormat="1" ht="35.450000000000003" customHeight="1" x14ac:dyDescent="0.2">
      <c r="A41" s="132">
        <v>195</v>
      </c>
      <c r="B41" s="138" t="s">
        <v>73</v>
      </c>
      <c r="C41" s="131">
        <v>2009</v>
      </c>
      <c r="D41" s="132" t="s">
        <v>12</v>
      </c>
      <c r="E41" s="131">
        <v>2010</v>
      </c>
      <c r="F41" s="132" t="s">
        <v>14</v>
      </c>
      <c r="G41" s="133">
        <f t="shared" si="0"/>
        <v>5762.2040816326535</v>
      </c>
      <c r="H41" s="142" t="s">
        <v>74</v>
      </c>
      <c r="I41" s="140">
        <v>147</v>
      </c>
      <c r="J41" s="140">
        <v>5.4</v>
      </c>
      <c r="K41" s="141">
        <f>156860*J41</f>
        <v>847044</v>
      </c>
      <c r="L41" s="125">
        <v>201</v>
      </c>
      <c r="M41" s="126"/>
      <c r="N41" s="126"/>
      <c r="O41" s="126"/>
      <c r="P41" s="126"/>
      <c r="Q41" s="126"/>
      <c r="R41" s="126"/>
      <c r="S41" s="126"/>
      <c r="T41" s="126"/>
      <c r="U41" s="126"/>
    </row>
    <row r="42" spans="1:21" s="106" customFormat="1" ht="35.450000000000003" customHeight="1" x14ac:dyDescent="0.2">
      <c r="A42" s="132">
        <v>196</v>
      </c>
      <c r="B42" s="138" t="s">
        <v>75</v>
      </c>
      <c r="C42" s="131">
        <v>2010</v>
      </c>
      <c r="D42" s="132" t="s">
        <v>12</v>
      </c>
      <c r="E42" s="131">
        <v>2010</v>
      </c>
      <c r="F42" s="132" t="s">
        <v>14</v>
      </c>
      <c r="G42" s="133">
        <f>K42/I42</f>
        <v>7150.9959183673482</v>
      </c>
      <c r="H42" s="142" t="s">
        <v>256</v>
      </c>
      <c r="I42" s="140">
        <v>147</v>
      </c>
      <c r="J42" s="140">
        <v>5.4</v>
      </c>
      <c r="K42" s="141">
        <f>194666*J42</f>
        <v>1051196.4000000001</v>
      </c>
      <c r="L42" s="125">
        <v>202</v>
      </c>
      <c r="M42" s="126"/>
      <c r="N42" s="126"/>
      <c r="O42" s="126"/>
      <c r="P42" s="126"/>
      <c r="Q42" s="126"/>
      <c r="R42" s="126"/>
      <c r="S42" s="126"/>
      <c r="T42" s="126"/>
      <c r="U42" s="126"/>
    </row>
    <row r="43" spans="1:21" s="106" customFormat="1" ht="35.450000000000003" customHeight="1" x14ac:dyDescent="0.2">
      <c r="A43" s="132">
        <v>197</v>
      </c>
      <c r="B43" s="138" t="s">
        <v>76</v>
      </c>
      <c r="C43" s="131">
        <v>2009</v>
      </c>
      <c r="D43" s="132" t="s">
        <v>12</v>
      </c>
      <c r="E43" s="131">
        <v>2010</v>
      </c>
      <c r="F43" s="132" t="s">
        <v>14</v>
      </c>
      <c r="G43" s="133">
        <f t="shared" ref="G43:G52" si="1">K43/I43</f>
        <v>5928</v>
      </c>
      <c r="H43" s="142" t="s">
        <v>27</v>
      </c>
      <c r="I43" s="140">
        <v>147</v>
      </c>
      <c r="J43" s="140">
        <v>5.04</v>
      </c>
      <c r="K43" s="141">
        <f>172900*J43</f>
        <v>871416</v>
      </c>
      <c r="L43" s="125">
        <v>203</v>
      </c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s="106" customFormat="1" ht="35.450000000000003" customHeight="1" x14ac:dyDescent="0.2">
      <c r="A44" s="132">
        <v>198</v>
      </c>
      <c r="B44" s="138" t="s">
        <v>77</v>
      </c>
      <c r="C44" s="131">
        <v>2008</v>
      </c>
      <c r="D44" s="132" t="s">
        <v>12</v>
      </c>
      <c r="E44" s="131">
        <v>2010</v>
      </c>
      <c r="F44" s="132" t="s">
        <v>14</v>
      </c>
      <c r="G44" s="133">
        <f t="shared" si="1"/>
        <v>5529.9204081632661</v>
      </c>
      <c r="H44" s="142" t="s">
        <v>78</v>
      </c>
      <c r="I44" s="140">
        <v>147</v>
      </c>
      <c r="J44" s="140">
        <v>5.03</v>
      </c>
      <c r="K44" s="141">
        <f>161610*J44</f>
        <v>812898.3</v>
      </c>
      <c r="L44" s="125">
        <v>204</v>
      </c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s="106" customFormat="1" ht="35.450000000000003" customHeight="1" x14ac:dyDescent="0.2">
      <c r="A45" s="132">
        <v>199</v>
      </c>
      <c r="B45" s="138" t="s">
        <v>79</v>
      </c>
      <c r="C45" s="131">
        <v>2006</v>
      </c>
      <c r="D45" s="132" t="s">
        <v>12</v>
      </c>
      <c r="E45" s="131">
        <v>2010</v>
      </c>
      <c r="F45" s="132" t="s">
        <v>14</v>
      </c>
      <c r="G45" s="133">
        <f t="shared" si="1"/>
        <v>13862.098299319729</v>
      </c>
      <c r="H45" s="142" t="s">
        <v>80</v>
      </c>
      <c r="I45" s="140">
        <v>147</v>
      </c>
      <c r="J45" s="140">
        <v>5.03</v>
      </c>
      <c r="K45" s="141">
        <f>405115*J45</f>
        <v>2037728.4500000002</v>
      </c>
      <c r="L45" s="125">
        <v>205</v>
      </c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s="112" customFormat="1" ht="60" customHeight="1" x14ac:dyDescent="0.2">
      <c r="A46" s="132"/>
      <c r="B46" s="138" t="s">
        <v>15</v>
      </c>
      <c r="C46" s="131">
        <v>2003</v>
      </c>
      <c r="D46" s="132" t="s">
        <v>21</v>
      </c>
      <c r="E46" s="131" t="s">
        <v>81</v>
      </c>
      <c r="F46" s="132" t="s">
        <v>11</v>
      </c>
      <c r="G46" s="133">
        <f>K46/I46</f>
        <v>1217.5102040816328</v>
      </c>
      <c r="H46" s="142" t="s">
        <v>270</v>
      </c>
      <c r="I46" s="140">
        <v>147</v>
      </c>
      <c r="J46" s="140">
        <v>5.49</v>
      </c>
      <c r="K46" s="141">
        <f>32600*J46</f>
        <v>178974</v>
      </c>
      <c r="L46" s="125">
        <v>206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s="106" customFormat="1" ht="35.450000000000003" customHeight="1" x14ac:dyDescent="0.2">
      <c r="A47" s="132">
        <v>200</v>
      </c>
      <c r="B47" s="138" t="s">
        <v>82</v>
      </c>
      <c r="C47" s="131">
        <v>2008</v>
      </c>
      <c r="D47" s="132" t="s">
        <v>12</v>
      </c>
      <c r="E47" s="131">
        <v>2010</v>
      </c>
      <c r="F47" s="132" t="s">
        <v>14</v>
      </c>
      <c r="G47" s="133">
        <f t="shared" si="1"/>
        <v>7604.666666666667</v>
      </c>
      <c r="H47" s="142" t="s">
        <v>83</v>
      </c>
      <c r="I47" s="140">
        <v>147</v>
      </c>
      <c r="J47" s="140">
        <v>5.39</v>
      </c>
      <c r="K47" s="141">
        <f>207400*J47</f>
        <v>1117886</v>
      </c>
      <c r="L47" s="125">
        <v>207</v>
      </c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s="106" customFormat="1" ht="35.450000000000003" customHeight="1" x14ac:dyDescent="0.2">
      <c r="A48" s="132">
        <v>201</v>
      </c>
      <c r="B48" s="138" t="s">
        <v>84</v>
      </c>
      <c r="C48" s="131">
        <v>2008</v>
      </c>
      <c r="D48" s="132" t="s">
        <v>12</v>
      </c>
      <c r="E48" s="131">
        <v>2010</v>
      </c>
      <c r="F48" s="132" t="s">
        <v>14</v>
      </c>
      <c r="G48" s="133">
        <f t="shared" si="1"/>
        <v>7454.7428571428572</v>
      </c>
      <c r="H48" s="142" t="s">
        <v>85</v>
      </c>
      <c r="I48" s="140">
        <v>147</v>
      </c>
      <c r="J48" s="140">
        <v>5.04</v>
      </c>
      <c r="K48" s="141">
        <f>217430*J48</f>
        <v>1095847.2</v>
      </c>
      <c r="L48" s="125">
        <v>208</v>
      </c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s="106" customFormat="1" ht="35.450000000000003" customHeight="1" x14ac:dyDescent="0.2">
      <c r="A49" s="132">
        <v>202</v>
      </c>
      <c r="B49" s="138" t="s">
        <v>86</v>
      </c>
      <c r="C49" s="131"/>
      <c r="D49" s="132" t="s">
        <v>12</v>
      </c>
      <c r="E49" s="131">
        <v>2010</v>
      </c>
      <c r="F49" s="132" t="s">
        <v>14</v>
      </c>
      <c r="G49" s="133">
        <f t="shared" si="1"/>
        <v>5904.4761904761899</v>
      </c>
      <c r="H49" s="142" t="s">
        <v>27</v>
      </c>
      <c r="I49" s="140">
        <v>147</v>
      </c>
      <c r="J49" s="140">
        <v>5.0199999999999996</v>
      </c>
      <c r="K49" s="141">
        <f>172900*J49</f>
        <v>867957.99999999988</v>
      </c>
      <c r="L49" s="125">
        <v>209</v>
      </c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s="106" customFormat="1" ht="35.450000000000003" customHeight="1" x14ac:dyDescent="0.2">
      <c r="A50" s="132">
        <v>203</v>
      </c>
      <c r="B50" s="138" t="s">
        <v>87</v>
      </c>
      <c r="C50" s="131">
        <v>2009</v>
      </c>
      <c r="D50" s="132" t="s">
        <v>12</v>
      </c>
      <c r="E50" s="131">
        <v>2010</v>
      </c>
      <c r="F50" s="132" t="s">
        <v>14</v>
      </c>
      <c r="G50" s="133">
        <f t="shared" si="1"/>
        <v>7481.1428571428569</v>
      </c>
      <c r="H50" s="142" t="s">
        <v>88</v>
      </c>
      <c r="I50" s="140">
        <v>147</v>
      </c>
      <c r="J50" s="140">
        <v>5.04</v>
      </c>
      <c r="K50" s="141">
        <f>218200*J50</f>
        <v>1099728</v>
      </c>
      <c r="L50" s="125">
        <v>210</v>
      </c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1" s="112" customFormat="1" ht="56.25" customHeight="1" x14ac:dyDescent="0.2">
      <c r="A51" s="132"/>
      <c r="B51" s="138" t="s">
        <v>89</v>
      </c>
      <c r="C51" s="131">
        <v>2008</v>
      </c>
      <c r="D51" s="132" t="s">
        <v>90</v>
      </c>
      <c r="E51" s="131" t="s">
        <v>91</v>
      </c>
      <c r="F51" s="132" t="s">
        <v>92</v>
      </c>
      <c r="G51" s="133">
        <f t="shared" si="1"/>
        <v>3751.9727891156463</v>
      </c>
      <c r="H51" s="142" t="s">
        <v>257</v>
      </c>
      <c r="I51" s="140">
        <v>147</v>
      </c>
      <c r="J51" s="140">
        <v>5.0599999999999996</v>
      </c>
      <c r="K51" s="141">
        <f>109000*J51</f>
        <v>551540</v>
      </c>
      <c r="L51" s="125">
        <v>211</v>
      </c>
      <c r="M51" s="126"/>
      <c r="N51" s="126"/>
      <c r="O51" s="126"/>
      <c r="P51" s="126"/>
      <c r="Q51" s="126"/>
      <c r="R51" s="126"/>
      <c r="S51" s="126"/>
      <c r="T51" s="126"/>
      <c r="U51" s="126"/>
    </row>
    <row r="52" spans="1:21" s="107" customFormat="1" ht="57.75" customHeight="1" x14ac:dyDescent="0.2">
      <c r="A52" s="132">
        <v>204</v>
      </c>
      <c r="B52" s="138" t="s">
        <v>32</v>
      </c>
      <c r="C52" s="131">
        <v>2008</v>
      </c>
      <c r="D52" s="132" t="s">
        <v>33</v>
      </c>
      <c r="E52" s="131">
        <v>2010</v>
      </c>
      <c r="F52" s="132" t="s">
        <v>34</v>
      </c>
      <c r="G52" s="133">
        <f t="shared" si="1"/>
        <v>161.46353741496597</v>
      </c>
      <c r="H52" s="142" t="s">
        <v>262</v>
      </c>
      <c r="I52" s="140">
        <v>147</v>
      </c>
      <c r="J52" s="140">
        <v>5.59</v>
      </c>
      <c r="K52" s="141">
        <f>4246*J52</f>
        <v>23735.14</v>
      </c>
      <c r="L52" s="125">
        <v>212</v>
      </c>
      <c r="M52" s="126"/>
      <c r="N52" s="126"/>
      <c r="O52" s="126"/>
      <c r="P52" s="126"/>
      <c r="Q52" s="126"/>
      <c r="R52" s="126"/>
      <c r="S52" s="126"/>
      <c r="T52" s="126"/>
      <c r="U52" s="126"/>
    </row>
    <row r="53" spans="1:21" s="106" customFormat="1" ht="36" customHeight="1" x14ac:dyDescent="0.2">
      <c r="A53" s="132">
        <v>205</v>
      </c>
      <c r="B53" s="138" t="s">
        <v>93</v>
      </c>
      <c r="C53" s="131">
        <v>2009</v>
      </c>
      <c r="D53" s="132" t="s">
        <v>12</v>
      </c>
      <c r="E53" s="131">
        <v>2010</v>
      </c>
      <c r="F53" s="132" t="s">
        <v>14</v>
      </c>
      <c r="G53" s="133">
        <f>K53/I53</f>
        <v>5707.9489795918371</v>
      </c>
      <c r="H53" s="142" t="s">
        <v>68</v>
      </c>
      <c r="I53" s="140">
        <v>147</v>
      </c>
      <c r="J53" s="140">
        <v>4.99</v>
      </c>
      <c r="K53" s="141">
        <f>168150*J53</f>
        <v>839068.5</v>
      </c>
      <c r="L53" s="125">
        <v>213</v>
      </c>
      <c r="M53" s="126"/>
      <c r="N53" s="126"/>
      <c r="O53" s="126"/>
      <c r="P53" s="126"/>
      <c r="Q53" s="126"/>
      <c r="R53" s="126"/>
      <c r="S53" s="126"/>
      <c r="T53" s="126"/>
      <c r="U53" s="126"/>
    </row>
    <row r="54" spans="1:21" s="106" customFormat="1" ht="35.450000000000003" customHeight="1" x14ac:dyDescent="0.2">
      <c r="A54" s="132">
        <v>206</v>
      </c>
      <c r="B54" s="138" t="s">
        <v>94</v>
      </c>
      <c r="C54" s="131">
        <v>2009</v>
      </c>
      <c r="D54" s="132" t="s">
        <v>12</v>
      </c>
      <c r="E54" s="131">
        <v>2010</v>
      </c>
      <c r="F54" s="132" t="s">
        <v>14</v>
      </c>
      <c r="G54" s="133">
        <f t="shared" ref="G54:G70" si="2">K54/I54</f>
        <v>5707.9489795918371</v>
      </c>
      <c r="H54" s="142" t="s">
        <v>68</v>
      </c>
      <c r="I54" s="140">
        <v>147</v>
      </c>
      <c r="J54" s="140">
        <v>4.99</v>
      </c>
      <c r="K54" s="141">
        <f>168150*J54</f>
        <v>839068.5</v>
      </c>
      <c r="L54" s="125">
        <v>214</v>
      </c>
      <c r="M54" s="126"/>
      <c r="N54" s="126"/>
      <c r="O54" s="126"/>
      <c r="P54" s="126"/>
      <c r="Q54" s="126"/>
      <c r="R54" s="126"/>
      <c r="S54" s="126"/>
      <c r="T54" s="126"/>
      <c r="U54" s="126"/>
    </row>
    <row r="55" spans="1:21" s="106" customFormat="1" ht="35.450000000000003" customHeight="1" x14ac:dyDescent="0.2">
      <c r="A55" s="132">
        <v>207</v>
      </c>
      <c r="B55" s="138" t="s">
        <v>95</v>
      </c>
      <c r="C55" s="131">
        <v>2009</v>
      </c>
      <c r="D55" s="132" t="s">
        <v>12</v>
      </c>
      <c r="E55" s="131">
        <v>2010</v>
      </c>
      <c r="F55" s="132" t="s">
        <v>14</v>
      </c>
      <c r="G55" s="133">
        <f t="shared" si="2"/>
        <v>5765.1428571428569</v>
      </c>
      <c r="H55" s="142" t="s">
        <v>68</v>
      </c>
      <c r="I55" s="140">
        <v>147</v>
      </c>
      <c r="J55" s="140">
        <v>5.04</v>
      </c>
      <c r="K55" s="141">
        <f>168150*J55</f>
        <v>847476</v>
      </c>
      <c r="L55" s="125">
        <v>215</v>
      </c>
      <c r="M55" s="126"/>
      <c r="N55" s="126"/>
      <c r="O55" s="126"/>
      <c r="P55" s="126"/>
      <c r="Q55" s="126"/>
      <c r="R55" s="126"/>
      <c r="S55" s="126"/>
      <c r="T55" s="126"/>
      <c r="U55" s="126"/>
    </row>
    <row r="56" spans="1:21" s="106" customFormat="1" ht="35.450000000000003" customHeight="1" x14ac:dyDescent="0.2">
      <c r="A56" s="132">
        <v>208</v>
      </c>
      <c r="B56" s="138" t="s">
        <v>96</v>
      </c>
      <c r="C56" s="131">
        <v>2004</v>
      </c>
      <c r="D56" s="132" t="s">
        <v>12</v>
      </c>
      <c r="E56" s="131">
        <v>2010</v>
      </c>
      <c r="F56" s="132" t="s">
        <v>14</v>
      </c>
      <c r="G56" s="133">
        <f t="shared" si="2"/>
        <v>6373.625850340135</v>
      </c>
      <c r="H56" s="142" t="s">
        <v>57</v>
      </c>
      <c r="I56" s="140">
        <v>147</v>
      </c>
      <c r="J56" s="140">
        <v>4.8499999999999996</v>
      </c>
      <c r="K56" s="141">
        <f>193180*J56</f>
        <v>936922.99999999988</v>
      </c>
      <c r="L56" s="125">
        <v>216</v>
      </c>
      <c r="M56" s="126"/>
      <c r="N56" s="126"/>
      <c r="O56" s="126"/>
      <c r="P56" s="126"/>
      <c r="Q56" s="126"/>
      <c r="R56" s="126"/>
      <c r="S56" s="126"/>
      <c r="T56" s="126"/>
      <c r="U56" s="126"/>
    </row>
    <row r="57" spans="1:21" s="106" customFormat="1" ht="35.450000000000003" customHeight="1" x14ac:dyDescent="0.2">
      <c r="A57" s="132"/>
      <c r="B57" s="138" t="s">
        <v>97</v>
      </c>
      <c r="C57" s="131">
        <v>2008</v>
      </c>
      <c r="D57" s="132" t="s">
        <v>12</v>
      </c>
      <c r="E57" s="131" t="s">
        <v>98</v>
      </c>
      <c r="F57" s="132" t="s">
        <v>14</v>
      </c>
      <c r="G57" s="133">
        <f t="shared" si="2"/>
        <v>1120.204081632653</v>
      </c>
      <c r="H57" s="142" t="s">
        <v>99</v>
      </c>
      <c r="I57" s="140">
        <v>147</v>
      </c>
      <c r="J57" s="140">
        <v>4.99</v>
      </c>
      <c r="K57" s="141">
        <f>33000*J57</f>
        <v>164670</v>
      </c>
      <c r="L57" s="125"/>
      <c r="M57" s="126"/>
      <c r="N57" s="126"/>
      <c r="O57" s="126"/>
      <c r="P57" s="126"/>
      <c r="Q57" s="126"/>
      <c r="R57" s="126"/>
      <c r="S57" s="126"/>
      <c r="T57" s="126"/>
      <c r="U57" s="126"/>
    </row>
    <row r="58" spans="1:21" s="113" customFormat="1" ht="35.450000000000003" customHeight="1" x14ac:dyDescent="0.2">
      <c r="A58" s="132">
        <v>209</v>
      </c>
      <c r="B58" s="138" t="s">
        <v>248</v>
      </c>
      <c r="C58" s="131">
        <v>2004</v>
      </c>
      <c r="D58" s="132" t="s">
        <v>12</v>
      </c>
      <c r="E58" s="131">
        <v>2010</v>
      </c>
      <c r="F58" s="132" t="s">
        <v>14</v>
      </c>
      <c r="G58" s="133">
        <f t="shared" si="2"/>
        <v>6621.9734693877554</v>
      </c>
      <c r="H58" s="142" t="s">
        <v>249</v>
      </c>
      <c r="I58" s="140">
        <v>147</v>
      </c>
      <c r="J58" s="140">
        <v>4.74</v>
      </c>
      <c r="K58" s="141">
        <f>205365*J58</f>
        <v>973430.10000000009</v>
      </c>
      <c r="L58" s="125">
        <v>217</v>
      </c>
      <c r="M58" s="126"/>
      <c r="N58" s="126"/>
      <c r="O58" s="126"/>
      <c r="P58" s="126"/>
      <c r="Q58" s="126"/>
      <c r="R58" s="126"/>
      <c r="S58" s="126"/>
      <c r="T58" s="126"/>
      <c r="U58" s="126"/>
    </row>
    <row r="59" spans="1:21" s="113" customFormat="1" ht="35.450000000000003" customHeight="1" x14ac:dyDescent="0.2">
      <c r="A59" s="132">
        <v>210</v>
      </c>
      <c r="B59" s="138" t="s">
        <v>251</v>
      </c>
      <c r="C59" s="131">
        <v>2006</v>
      </c>
      <c r="D59" s="132" t="s">
        <v>12</v>
      </c>
      <c r="E59" s="131">
        <v>2010</v>
      </c>
      <c r="F59" s="132" t="s">
        <v>14</v>
      </c>
      <c r="G59" s="133">
        <f t="shared" si="2"/>
        <v>3821.0204081632655</v>
      </c>
      <c r="H59" s="142" t="s">
        <v>252</v>
      </c>
      <c r="I59" s="140">
        <v>147</v>
      </c>
      <c r="J59" s="140">
        <v>4.74</v>
      </c>
      <c r="K59" s="141">
        <f>118500*J59</f>
        <v>561690</v>
      </c>
      <c r="L59" s="125">
        <v>218</v>
      </c>
      <c r="M59" s="126"/>
      <c r="N59" s="126"/>
      <c r="O59" s="126"/>
      <c r="P59" s="126"/>
      <c r="Q59" s="126"/>
      <c r="R59" s="126"/>
      <c r="S59" s="126"/>
      <c r="T59" s="126"/>
      <c r="U59" s="126"/>
    </row>
    <row r="60" spans="1:21" s="113" customFormat="1" ht="35.450000000000003" customHeight="1" x14ac:dyDescent="0.2">
      <c r="A60" s="132">
        <v>211</v>
      </c>
      <c r="B60" s="138" t="s">
        <v>265</v>
      </c>
      <c r="C60" s="131">
        <v>2009</v>
      </c>
      <c r="D60" s="132" t="s">
        <v>12</v>
      </c>
      <c r="E60" s="131">
        <v>2010</v>
      </c>
      <c r="F60" s="132" t="s">
        <v>14</v>
      </c>
      <c r="G60" s="133">
        <f t="shared" si="2"/>
        <v>7493.0714285714284</v>
      </c>
      <c r="H60" s="142" t="s">
        <v>266</v>
      </c>
      <c r="I60" s="140">
        <v>147</v>
      </c>
      <c r="J60" s="140">
        <v>4.83</v>
      </c>
      <c r="K60" s="141">
        <f>228050*J60</f>
        <v>1101481.5</v>
      </c>
      <c r="L60" s="125">
        <v>219</v>
      </c>
      <c r="M60" s="126"/>
      <c r="N60" s="126"/>
      <c r="O60" s="126"/>
      <c r="P60" s="126"/>
      <c r="Q60" s="126"/>
      <c r="R60" s="126"/>
      <c r="S60" s="126"/>
      <c r="T60" s="126"/>
      <c r="U60" s="126"/>
    </row>
    <row r="61" spans="1:21" s="112" customFormat="1" ht="35.25" customHeight="1" x14ac:dyDescent="0.2">
      <c r="A61" s="132">
        <v>212</v>
      </c>
      <c r="B61" s="138" t="s">
        <v>100</v>
      </c>
      <c r="C61" s="131">
        <v>2010</v>
      </c>
      <c r="D61" s="132" t="s">
        <v>12</v>
      </c>
      <c r="E61" s="131">
        <v>2010</v>
      </c>
      <c r="F61" s="132" t="s">
        <v>35</v>
      </c>
      <c r="G61" s="133">
        <f t="shared" si="2"/>
        <v>12800.976870748298</v>
      </c>
      <c r="H61" s="142" t="s">
        <v>254</v>
      </c>
      <c r="I61" s="140">
        <v>147</v>
      </c>
      <c r="J61" s="140">
        <v>4.84</v>
      </c>
      <c r="K61" s="141">
        <f>388790*J61</f>
        <v>1881743.5999999999</v>
      </c>
      <c r="L61" s="125">
        <v>220</v>
      </c>
      <c r="M61" s="126"/>
      <c r="N61" s="126"/>
      <c r="O61" s="126"/>
      <c r="P61" s="126"/>
      <c r="Q61" s="126"/>
      <c r="R61" s="126"/>
      <c r="S61" s="126"/>
      <c r="T61" s="126"/>
      <c r="U61" s="126"/>
    </row>
    <row r="62" spans="1:21" s="113" customFormat="1" ht="35.25" customHeight="1" x14ac:dyDescent="0.2">
      <c r="A62" s="132">
        <v>213</v>
      </c>
      <c r="B62" s="138" t="s">
        <v>242</v>
      </c>
      <c r="C62" s="131">
        <v>2009</v>
      </c>
      <c r="D62" s="132" t="s">
        <v>12</v>
      </c>
      <c r="E62" s="131">
        <v>2010</v>
      </c>
      <c r="F62" s="132" t="s">
        <v>35</v>
      </c>
      <c r="G62" s="133">
        <f t="shared" si="2"/>
        <v>2885.4047619047619</v>
      </c>
      <c r="H62" s="142" t="s">
        <v>243</v>
      </c>
      <c r="I62" s="140">
        <v>147</v>
      </c>
      <c r="J62" s="140">
        <v>4.79</v>
      </c>
      <c r="K62" s="141">
        <f>88550*J62</f>
        <v>424154.5</v>
      </c>
      <c r="L62" s="125">
        <v>221</v>
      </c>
      <c r="M62" s="126"/>
      <c r="N62" s="126"/>
      <c r="O62" s="126"/>
      <c r="P62" s="126"/>
      <c r="Q62" s="126"/>
      <c r="R62" s="126"/>
      <c r="S62" s="126"/>
      <c r="T62" s="126"/>
      <c r="U62" s="126"/>
    </row>
    <row r="63" spans="1:21" s="113" customFormat="1" ht="35.25" customHeight="1" x14ac:dyDescent="0.2">
      <c r="A63" s="132">
        <v>214</v>
      </c>
      <c r="B63" s="138" t="s">
        <v>244</v>
      </c>
      <c r="C63" s="131">
        <v>2009</v>
      </c>
      <c r="D63" s="132" t="s">
        <v>12</v>
      </c>
      <c r="E63" s="131">
        <v>2010</v>
      </c>
      <c r="F63" s="132" t="s">
        <v>35</v>
      </c>
      <c r="G63" s="133">
        <f t="shared" si="2"/>
        <v>4662.0711564625844</v>
      </c>
      <c r="H63" s="142" t="s">
        <v>245</v>
      </c>
      <c r="I63" s="140">
        <v>147</v>
      </c>
      <c r="J63" s="140">
        <v>4.79</v>
      </c>
      <c r="K63" s="141">
        <f>143074*J63</f>
        <v>685324.46</v>
      </c>
      <c r="L63" s="125">
        <v>222</v>
      </c>
      <c r="M63" s="126"/>
      <c r="N63" s="126"/>
      <c r="O63" s="126"/>
      <c r="P63" s="126"/>
      <c r="Q63" s="126"/>
      <c r="R63" s="126"/>
      <c r="S63" s="126"/>
      <c r="T63" s="126"/>
      <c r="U63" s="126"/>
    </row>
    <row r="64" spans="1:21" s="113" customFormat="1" ht="35.25" customHeight="1" x14ac:dyDescent="0.2">
      <c r="A64" s="132">
        <v>215</v>
      </c>
      <c r="B64" s="138" t="s">
        <v>255</v>
      </c>
      <c r="C64" s="131">
        <v>2010</v>
      </c>
      <c r="D64" s="132" t="s">
        <v>12</v>
      </c>
      <c r="E64" s="131">
        <v>2010</v>
      </c>
      <c r="F64" s="132" t="s">
        <v>35</v>
      </c>
      <c r="G64" s="133">
        <f t="shared" si="2"/>
        <v>6674.2628571428577</v>
      </c>
      <c r="H64" s="142" t="s">
        <v>256</v>
      </c>
      <c r="I64" s="140">
        <v>147</v>
      </c>
      <c r="J64" s="140">
        <v>5.04</v>
      </c>
      <c r="K64" s="141">
        <f>194666*J64</f>
        <v>981116.64</v>
      </c>
      <c r="L64" s="125">
        <v>223</v>
      </c>
      <c r="M64" s="126"/>
      <c r="N64" s="126"/>
      <c r="O64" s="126"/>
      <c r="P64" s="126"/>
      <c r="Q64" s="126"/>
      <c r="R64" s="126"/>
      <c r="S64" s="126"/>
      <c r="T64" s="126"/>
      <c r="U64" s="126"/>
    </row>
    <row r="65" spans="1:21" s="106" customFormat="1" ht="35.25" customHeight="1" x14ac:dyDescent="0.2">
      <c r="A65" s="132">
        <v>216</v>
      </c>
      <c r="B65" s="138" t="s">
        <v>101</v>
      </c>
      <c r="C65" s="131">
        <v>1998</v>
      </c>
      <c r="D65" s="132" t="s">
        <v>12</v>
      </c>
      <c r="E65" s="131">
        <v>2010</v>
      </c>
      <c r="F65" s="132" t="s">
        <v>14</v>
      </c>
      <c r="G65" s="133">
        <f t="shared" si="2"/>
        <v>3652.5714285714284</v>
      </c>
      <c r="H65" s="142" t="s">
        <v>102</v>
      </c>
      <c r="I65" s="140">
        <v>147</v>
      </c>
      <c r="J65" s="140">
        <v>4.76</v>
      </c>
      <c r="K65" s="141">
        <f>112800*J65</f>
        <v>536928</v>
      </c>
      <c r="L65" s="125">
        <v>224</v>
      </c>
      <c r="M65" s="126"/>
      <c r="N65" s="126"/>
      <c r="O65" s="126"/>
      <c r="P65" s="126"/>
      <c r="Q65" s="126"/>
      <c r="R65" s="126"/>
      <c r="S65" s="126"/>
      <c r="T65" s="126"/>
      <c r="U65" s="126"/>
    </row>
    <row r="66" spans="1:21" s="106" customFormat="1" ht="35.25" customHeight="1" x14ac:dyDescent="0.2">
      <c r="A66" s="132">
        <v>217</v>
      </c>
      <c r="B66" s="138" t="s">
        <v>103</v>
      </c>
      <c r="C66" s="131">
        <v>2008</v>
      </c>
      <c r="D66" s="132" t="s">
        <v>12</v>
      </c>
      <c r="E66" s="131">
        <v>2010</v>
      </c>
      <c r="F66" s="132" t="s">
        <v>14</v>
      </c>
      <c r="G66" s="133">
        <f t="shared" si="2"/>
        <v>4983.7714285714292</v>
      </c>
      <c r="H66" s="142" t="s">
        <v>104</v>
      </c>
      <c r="I66" s="140">
        <v>147</v>
      </c>
      <c r="J66" s="140">
        <v>4.74</v>
      </c>
      <c r="K66" s="141">
        <f>154560*J66</f>
        <v>732614.4</v>
      </c>
      <c r="L66" s="125">
        <v>225</v>
      </c>
      <c r="M66" s="126"/>
      <c r="N66" s="126"/>
      <c r="O66" s="126"/>
      <c r="P66" s="126"/>
      <c r="Q66" s="126"/>
      <c r="R66" s="126"/>
      <c r="S66" s="126"/>
      <c r="T66" s="126"/>
      <c r="U66" s="126"/>
    </row>
    <row r="67" spans="1:21" s="106" customFormat="1" ht="35.25" customHeight="1" x14ac:dyDescent="0.2">
      <c r="A67" s="132">
        <v>218</v>
      </c>
      <c r="B67" s="138" t="s">
        <v>105</v>
      </c>
      <c r="C67" s="131">
        <v>2008</v>
      </c>
      <c r="D67" s="132" t="s">
        <v>12</v>
      </c>
      <c r="E67" s="131">
        <v>2010</v>
      </c>
      <c r="F67" s="132" t="s">
        <v>14</v>
      </c>
      <c r="G67" s="133">
        <f t="shared" si="2"/>
        <v>4983.7714285714292</v>
      </c>
      <c r="H67" s="142" t="s">
        <v>104</v>
      </c>
      <c r="I67" s="140">
        <v>147</v>
      </c>
      <c r="J67" s="140">
        <v>4.74</v>
      </c>
      <c r="K67" s="141">
        <f>154560*J67</f>
        <v>732614.4</v>
      </c>
      <c r="L67" s="125">
        <v>226</v>
      </c>
      <c r="M67" s="126"/>
      <c r="N67" s="126"/>
      <c r="O67" s="126"/>
      <c r="P67" s="126"/>
      <c r="Q67" s="126"/>
      <c r="R67" s="126"/>
      <c r="S67" s="126"/>
      <c r="T67" s="126"/>
      <c r="U67" s="126"/>
    </row>
    <row r="68" spans="1:21" s="106" customFormat="1" ht="35.25" customHeight="1" x14ac:dyDescent="0.2">
      <c r="A68" s="132">
        <v>219</v>
      </c>
      <c r="B68" s="138" t="s">
        <v>106</v>
      </c>
      <c r="C68" s="131">
        <v>2003</v>
      </c>
      <c r="D68" s="132" t="s">
        <v>12</v>
      </c>
      <c r="E68" s="131">
        <v>2010</v>
      </c>
      <c r="F68" s="132" t="s">
        <v>14</v>
      </c>
      <c r="G68" s="133">
        <f t="shared" si="2"/>
        <v>293.42857142857144</v>
      </c>
      <c r="H68" s="142" t="s">
        <v>107</v>
      </c>
      <c r="I68" s="140">
        <v>147</v>
      </c>
      <c r="J68" s="140">
        <v>4.74</v>
      </c>
      <c r="K68" s="141">
        <f>9100*J68</f>
        <v>43134</v>
      </c>
      <c r="L68" s="125">
        <v>227</v>
      </c>
      <c r="M68" s="126"/>
      <c r="N68" s="126"/>
      <c r="O68" s="126"/>
      <c r="P68" s="126"/>
      <c r="Q68" s="126"/>
      <c r="R68" s="126"/>
      <c r="S68" s="126"/>
      <c r="T68" s="126"/>
      <c r="U68" s="126"/>
    </row>
    <row r="69" spans="1:21" s="106" customFormat="1" ht="35.25" customHeight="1" x14ac:dyDescent="0.2">
      <c r="A69" s="132">
        <v>220</v>
      </c>
      <c r="B69" s="138" t="s">
        <v>108</v>
      </c>
      <c r="C69" s="131">
        <v>2008</v>
      </c>
      <c r="D69" s="132" t="s">
        <v>12</v>
      </c>
      <c r="E69" s="131">
        <v>2010</v>
      </c>
      <c r="F69" s="132" t="s">
        <v>14</v>
      </c>
      <c r="G69" s="133">
        <f t="shared" si="2"/>
        <v>4868.114285714285</v>
      </c>
      <c r="H69" s="142" t="s">
        <v>104</v>
      </c>
      <c r="I69" s="140">
        <v>147</v>
      </c>
      <c r="J69" s="140">
        <v>4.63</v>
      </c>
      <c r="K69" s="141">
        <f>154560*J69</f>
        <v>715612.79999999993</v>
      </c>
      <c r="L69" s="125">
        <v>228</v>
      </c>
      <c r="M69" s="126"/>
      <c r="N69" s="126"/>
      <c r="O69" s="126"/>
      <c r="P69" s="126"/>
      <c r="Q69" s="126"/>
      <c r="R69" s="126"/>
      <c r="S69" s="126"/>
      <c r="T69" s="126"/>
      <c r="U69" s="126"/>
    </row>
    <row r="70" spans="1:21" s="106" customFormat="1" ht="35.25" customHeight="1" x14ac:dyDescent="0.2">
      <c r="A70" s="132">
        <v>221</v>
      </c>
      <c r="B70" s="138" t="s">
        <v>109</v>
      </c>
      <c r="C70" s="131">
        <v>2002</v>
      </c>
      <c r="D70" s="132" t="s">
        <v>12</v>
      </c>
      <c r="E70" s="131">
        <v>2010</v>
      </c>
      <c r="F70" s="132" t="s">
        <v>14</v>
      </c>
      <c r="G70" s="133">
        <f t="shared" si="2"/>
        <v>6097.6544217687069</v>
      </c>
      <c r="H70" s="142" t="s">
        <v>57</v>
      </c>
      <c r="I70" s="140">
        <v>147</v>
      </c>
      <c r="J70" s="140">
        <v>4.6399999999999997</v>
      </c>
      <c r="K70" s="141">
        <f>193180*J70</f>
        <v>896355.2</v>
      </c>
      <c r="L70" s="125">
        <v>229</v>
      </c>
      <c r="M70" s="126"/>
      <c r="N70" s="126"/>
      <c r="O70" s="126"/>
      <c r="P70" s="126"/>
      <c r="Q70" s="126"/>
      <c r="R70" s="126"/>
      <c r="S70" s="126"/>
      <c r="T70" s="126"/>
      <c r="U70" s="126"/>
    </row>
    <row r="71" spans="1:21" s="106" customFormat="1" ht="35.25" customHeight="1" x14ac:dyDescent="0.2">
      <c r="A71" s="132">
        <v>222</v>
      </c>
      <c r="B71" s="138" t="s">
        <v>110</v>
      </c>
      <c r="C71" s="131">
        <v>2005</v>
      </c>
      <c r="D71" s="132" t="s">
        <v>12</v>
      </c>
      <c r="E71" s="131">
        <v>2010</v>
      </c>
      <c r="F71" s="132" t="s">
        <v>14</v>
      </c>
      <c r="G71" s="133">
        <f>K71/I71</f>
        <v>3821.0204081632655</v>
      </c>
      <c r="H71" s="142" t="s">
        <v>111</v>
      </c>
      <c r="I71" s="140">
        <v>147</v>
      </c>
      <c r="J71" s="140">
        <v>4.74</v>
      </c>
      <c r="K71" s="141">
        <f>118500*J71</f>
        <v>561690</v>
      </c>
      <c r="L71" s="125">
        <v>230</v>
      </c>
      <c r="M71" s="126"/>
      <c r="N71" s="126"/>
      <c r="O71" s="126"/>
      <c r="P71" s="126"/>
      <c r="Q71" s="126"/>
      <c r="R71" s="126"/>
      <c r="S71" s="126"/>
      <c r="T71" s="126"/>
      <c r="U71" s="126"/>
    </row>
    <row r="72" spans="1:21" s="106" customFormat="1" ht="35.25" customHeight="1" x14ac:dyDescent="0.2">
      <c r="A72" s="132">
        <v>223</v>
      </c>
      <c r="B72" s="138" t="s">
        <v>112</v>
      </c>
      <c r="C72" s="131">
        <v>2003</v>
      </c>
      <c r="D72" s="132" t="s">
        <v>12</v>
      </c>
      <c r="E72" s="131">
        <v>2010</v>
      </c>
      <c r="F72" s="132" t="s">
        <v>14</v>
      </c>
      <c r="G72" s="133">
        <f t="shared" ref="G72:G80" si="3">K72/I72</f>
        <v>623.9387755102041</v>
      </c>
      <c r="H72" s="142" t="s">
        <v>113</v>
      </c>
      <c r="I72" s="140">
        <v>147</v>
      </c>
      <c r="J72" s="140">
        <v>4.74</v>
      </c>
      <c r="K72" s="141">
        <f>19350*J72</f>
        <v>91719</v>
      </c>
      <c r="L72" s="125">
        <v>231</v>
      </c>
      <c r="M72" s="126"/>
      <c r="N72" s="126"/>
      <c r="O72" s="126"/>
      <c r="P72" s="126"/>
      <c r="Q72" s="126"/>
      <c r="R72" s="126"/>
      <c r="S72" s="126"/>
      <c r="T72" s="126"/>
      <c r="U72" s="126"/>
    </row>
    <row r="73" spans="1:21" s="112" customFormat="1" ht="35.25" customHeight="1" x14ac:dyDescent="0.2">
      <c r="A73" s="132">
        <v>224</v>
      </c>
      <c r="B73" s="138" t="s">
        <v>114</v>
      </c>
      <c r="C73" s="131">
        <v>2009</v>
      </c>
      <c r="D73" s="132" t="s">
        <v>12</v>
      </c>
      <c r="E73" s="131">
        <v>2010</v>
      </c>
      <c r="F73" s="132" t="s">
        <v>14</v>
      </c>
      <c r="G73" s="133">
        <f t="shared" si="3"/>
        <v>5302.1632653061215</v>
      </c>
      <c r="H73" s="142" t="s">
        <v>253</v>
      </c>
      <c r="I73" s="140">
        <v>147</v>
      </c>
      <c r="J73" s="140">
        <v>4.7699999999999996</v>
      </c>
      <c r="K73" s="141">
        <f>163400*J73</f>
        <v>779417.99999999988</v>
      </c>
      <c r="L73" s="125">
        <v>232</v>
      </c>
      <c r="M73" s="126"/>
      <c r="N73" s="126"/>
      <c r="O73" s="126"/>
      <c r="P73" s="126"/>
      <c r="Q73" s="126"/>
      <c r="R73" s="126"/>
      <c r="S73" s="126"/>
      <c r="T73" s="126"/>
      <c r="U73" s="126"/>
    </row>
    <row r="74" spans="1:21" s="106" customFormat="1" ht="35.25" customHeight="1" x14ac:dyDescent="0.2">
      <c r="A74" s="132">
        <v>225</v>
      </c>
      <c r="B74" s="138" t="s">
        <v>115</v>
      </c>
      <c r="C74" s="131">
        <v>1995</v>
      </c>
      <c r="D74" s="132" t="s">
        <v>12</v>
      </c>
      <c r="E74" s="131">
        <v>2010</v>
      </c>
      <c r="F74" s="132" t="s">
        <v>14</v>
      </c>
      <c r="G74" s="133">
        <f t="shared" si="3"/>
        <v>4457.1401360544223</v>
      </c>
      <c r="H74" s="142" t="s">
        <v>116</v>
      </c>
      <c r="I74" s="140">
        <v>147</v>
      </c>
      <c r="J74" s="140">
        <v>4.7300000000000004</v>
      </c>
      <c r="K74" s="141">
        <f>138520*J74</f>
        <v>655199.60000000009</v>
      </c>
      <c r="L74" s="125">
        <v>233</v>
      </c>
      <c r="M74" s="126"/>
      <c r="N74" s="126"/>
      <c r="O74" s="126"/>
      <c r="P74" s="126"/>
      <c r="Q74" s="126"/>
      <c r="R74" s="126"/>
      <c r="S74" s="126"/>
      <c r="T74" s="126"/>
      <c r="U74" s="126"/>
    </row>
    <row r="75" spans="1:21" s="112" customFormat="1" ht="35.25" customHeight="1" x14ac:dyDescent="0.2">
      <c r="A75" s="132">
        <v>226</v>
      </c>
      <c r="B75" s="138" t="s">
        <v>117</v>
      </c>
      <c r="C75" s="131">
        <v>2009</v>
      </c>
      <c r="D75" s="132" t="s">
        <v>12</v>
      </c>
      <c r="E75" s="131">
        <v>2010</v>
      </c>
      <c r="F75" s="132" t="s">
        <v>14</v>
      </c>
      <c r="G75" s="133">
        <f t="shared" si="3"/>
        <v>5307.591836734694</v>
      </c>
      <c r="H75" s="142" t="s">
        <v>68</v>
      </c>
      <c r="I75" s="140">
        <v>147</v>
      </c>
      <c r="J75" s="140">
        <v>4.6399999999999997</v>
      </c>
      <c r="K75" s="141">
        <f>168150*J75</f>
        <v>780216</v>
      </c>
      <c r="L75" s="125">
        <v>234</v>
      </c>
      <c r="M75" s="126"/>
      <c r="N75" s="126"/>
      <c r="O75" s="126"/>
      <c r="P75" s="126"/>
      <c r="Q75" s="126"/>
      <c r="R75" s="126"/>
      <c r="S75" s="126"/>
      <c r="T75" s="126"/>
      <c r="U75" s="126"/>
    </row>
    <row r="76" spans="1:21" s="106" customFormat="1" ht="35.25" customHeight="1" x14ac:dyDescent="0.2">
      <c r="A76" s="134"/>
      <c r="B76" s="132" t="s">
        <v>118</v>
      </c>
      <c r="C76" s="132"/>
      <c r="D76" s="132" t="s">
        <v>12</v>
      </c>
      <c r="E76" s="131">
        <v>2010</v>
      </c>
      <c r="F76" s="132" t="s">
        <v>14</v>
      </c>
      <c r="G76" s="133">
        <f t="shared" si="3"/>
        <v>4193.1482993197278</v>
      </c>
      <c r="H76" s="142" t="s">
        <v>119</v>
      </c>
      <c r="I76" s="140">
        <v>147</v>
      </c>
      <c r="J76" s="140">
        <v>4.88</v>
      </c>
      <c r="K76" s="141">
        <f>126310*J76</f>
        <v>616392.79999999993</v>
      </c>
      <c r="L76" s="125">
        <v>235</v>
      </c>
      <c r="M76" s="126"/>
      <c r="N76" s="126"/>
      <c r="O76" s="126"/>
      <c r="P76" s="126"/>
      <c r="Q76" s="126"/>
      <c r="R76" s="126"/>
      <c r="S76" s="126"/>
      <c r="T76" s="126"/>
      <c r="U76" s="126"/>
    </row>
    <row r="77" spans="1:21" s="106" customFormat="1" ht="35.25" customHeight="1" x14ac:dyDescent="0.2">
      <c r="A77" s="132">
        <v>227</v>
      </c>
      <c r="B77" s="138" t="s">
        <v>36</v>
      </c>
      <c r="C77" s="131">
        <v>2010</v>
      </c>
      <c r="D77" s="132" t="s">
        <v>12</v>
      </c>
      <c r="E77" s="131">
        <v>2010</v>
      </c>
      <c r="F77" s="132" t="s">
        <v>14</v>
      </c>
      <c r="G77" s="133">
        <f t="shared" si="3"/>
        <v>7089.4149659863933</v>
      </c>
      <c r="H77" s="142" t="s">
        <v>120</v>
      </c>
      <c r="I77" s="140">
        <v>147</v>
      </c>
      <c r="J77" s="140">
        <v>4.6399999999999997</v>
      </c>
      <c r="K77" s="141">
        <f>224600*J77</f>
        <v>1042143.9999999999</v>
      </c>
      <c r="L77" s="125">
        <v>236</v>
      </c>
      <c r="M77" s="126"/>
      <c r="N77" s="126"/>
      <c r="O77" s="126"/>
      <c r="P77" s="126"/>
      <c r="Q77" s="126"/>
      <c r="R77" s="126"/>
      <c r="S77" s="126"/>
      <c r="T77" s="126"/>
      <c r="U77" s="126"/>
    </row>
    <row r="78" spans="1:21" s="106" customFormat="1" ht="35.25" customHeight="1" x14ac:dyDescent="0.2">
      <c r="A78" s="132">
        <v>228</v>
      </c>
      <c r="B78" s="138" t="s">
        <v>121</v>
      </c>
      <c r="C78" s="131">
        <v>2000</v>
      </c>
      <c r="D78" s="132" t="s">
        <v>12</v>
      </c>
      <c r="E78" s="131">
        <v>2010</v>
      </c>
      <c r="F78" s="132" t="s">
        <v>14</v>
      </c>
      <c r="G78" s="133">
        <f t="shared" si="3"/>
        <v>751.19387755102036</v>
      </c>
      <c r="H78" s="142" t="s">
        <v>122</v>
      </c>
      <c r="I78" s="140">
        <v>147</v>
      </c>
      <c r="J78" s="140">
        <v>4.7699999999999996</v>
      </c>
      <c r="K78" s="141">
        <f>23150*J78</f>
        <v>110425.49999999999</v>
      </c>
      <c r="L78" s="125">
        <v>237</v>
      </c>
      <c r="M78" s="126"/>
      <c r="N78" s="126"/>
      <c r="O78" s="126"/>
      <c r="P78" s="126"/>
      <c r="Q78" s="126"/>
      <c r="R78" s="126"/>
      <c r="S78" s="126"/>
      <c r="T78" s="126"/>
      <c r="U78" s="126"/>
    </row>
    <row r="79" spans="1:21" s="106" customFormat="1" ht="35.25" customHeight="1" x14ac:dyDescent="0.2">
      <c r="A79" s="132">
        <v>229</v>
      </c>
      <c r="B79" s="138" t="s">
        <v>123</v>
      </c>
      <c r="C79" s="131">
        <v>2007</v>
      </c>
      <c r="D79" s="132" t="s">
        <v>12</v>
      </c>
      <c r="E79" s="131">
        <v>2010</v>
      </c>
      <c r="F79" s="132" t="s">
        <v>14</v>
      </c>
      <c r="G79" s="133">
        <f t="shared" si="3"/>
        <v>4861.1816326530607</v>
      </c>
      <c r="H79" s="142" t="s">
        <v>124</v>
      </c>
      <c r="I79" s="140">
        <v>147</v>
      </c>
      <c r="J79" s="140">
        <v>4.7699999999999996</v>
      </c>
      <c r="K79" s="141">
        <f>149810*J79</f>
        <v>714593.7</v>
      </c>
      <c r="L79" s="125">
        <v>238</v>
      </c>
      <c r="M79" s="126"/>
      <c r="N79" s="126"/>
      <c r="O79" s="126"/>
      <c r="P79" s="126"/>
      <c r="Q79" s="126"/>
      <c r="R79" s="126"/>
      <c r="S79" s="126"/>
      <c r="T79" s="126"/>
      <c r="U79" s="126"/>
    </row>
    <row r="80" spans="1:21" s="106" customFormat="1" ht="35.25" customHeight="1" x14ac:dyDescent="0.2">
      <c r="A80" s="132">
        <v>230</v>
      </c>
      <c r="B80" s="138" t="s">
        <v>125</v>
      </c>
      <c r="C80" s="131">
        <v>2009</v>
      </c>
      <c r="D80" s="132" t="s">
        <v>12</v>
      </c>
      <c r="E80" s="131">
        <v>2010</v>
      </c>
      <c r="F80" s="132" t="s">
        <v>14</v>
      </c>
      <c r="G80" s="133">
        <f t="shared" si="3"/>
        <v>780.28911564625855</v>
      </c>
      <c r="H80" s="142" t="s">
        <v>126</v>
      </c>
      <c r="I80" s="140">
        <v>147</v>
      </c>
      <c r="J80" s="140">
        <v>4.7300000000000004</v>
      </c>
      <c r="K80" s="141">
        <f>24250*J80</f>
        <v>114702.50000000001</v>
      </c>
      <c r="L80" s="125">
        <v>239</v>
      </c>
      <c r="M80" s="126"/>
      <c r="N80" s="126"/>
      <c r="O80" s="126"/>
      <c r="P80" s="126"/>
      <c r="Q80" s="126"/>
      <c r="R80" s="126"/>
      <c r="S80" s="126"/>
      <c r="T80" s="126"/>
      <c r="U80" s="126"/>
    </row>
    <row r="81" spans="1:21" ht="58.5" customHeight="1" x14ac:dyDescent="0.2">
      <c r="A81" s="134">
        <v>231</v>
      </c>
      <c r="B81" s="132" t="s">
        <v>50</v>
      </c>
      <c r="C81" s="132">
        <v>2009</v>
      </c>
      <c r="D81" s="132" t="s">
        <v>12</v>
      </c>
      <c r="E81" s="131">
        <v>2010</v>
      </c>
      <c r="F81" s="132" t="s">
        <v>14</v>
      </c>
      <c r="G81" s="133">
        <f>K81/I81</f>
        <v>7184.7789115646256</v>
      </c>
      <c r="H81" s="142" t="s">
        <v>271</v>
      </c>
      <c r="I81" s="140">
        <v>147</v>
      </c>
      <c r="J81" s="140">
        <v>4.75</v>
      </c>
      <c r="K81" s="141">
        <f>222350*J81</f>
        <v>1056162.5</v>
      </c>
      <c r="L81" s="125"/>
      <c r="M81" s="93"/>
      <c r="N81" s="93"/>
      <c r="O81" s="93"/>
      <c r="P81" s="93"/>
      <c r="Q81" s="93"/>
      <c r="R81" s="93"/>
      <c r="S81" s="93"/>
      <c r="T81" s="93"/>
      <c r="U81" s="93"/>
    </row>
    <row r="82" spans="1:21" s="96" customFormat="1" ht="47.25" customHeight="1" x14ac:dyDescent="0.2">
      <c r="A82" s="134">
        <v>232</v>
      </c>
      <c r="B82" s="132" t="s">
        <v>127</v>
      </c>
      <c r="C82" s="132">
        <v>2008</v>
      </c>
      <c r="D82" s="132" t="s">
        <v>128</v>
      </c>
      <c r="E82" s="131">
        <v>2010</v>
      </c>
      <c r="F82" s="132" t="s">
        <v>129</v>
      </c>
      <c r="G82" s="133">
        <f>K82/I82</f>
        <v>1659.591836734694</v>
      </c>
      <c r="H82" s="142" t="s">
        <v>130</v>
      </c>
      <c r="I82" s="140">
        <v>147</v>
      </c>
      <c r="J82" s="140">
        <v>4.75</v>
      </c>
      <c r="K82" s="141">
        <f>51360*J82</f>
        <v>243960</v>
      </c>
      <c r="L82" s="125">
        <v>240</v>
      </c>
      <c r="M82" s="93"/>
      <c r="N82" s="93"/>
      <c r="O82" s="93"/>
      <c r="P82" s="93"/>
      <c r="Q82" s="93"/>
      <c r="R82" s="93"/>
      <c r="S82" s="93"/>
      <c r="T82" s="93"/>
      <c r="U82" s="93"/>
    </row>
    <row r="83" spans="1:21" s="96" customFormat="1" ht="33.75" x14ac:dyDescent="0.2">
      <c r="A83" s="134">
        <v>233</v>
      </c>
      <c r="B83" s="132" t="s">
        <v>131</v>
      </c>
      <c r="C83" s="132">
        <v>2006</v>
      </c>
      <c r="D83" s="132" t="s">
        <v>12</v>
      </c>
      <c r="E83" s="131">
        <v>2010</v>
      </c>
      <c r="F83" s="132" t="s">
        <v>22</v>
      </c>
      <c r="G83" s="133">
        <v>9500</v>
      </c>
      <c r="H83" s="139"/>
      <c r="I83" s="140">
        <v>147</v>
      </c>
      <c r="J83" s="140"/>
      <c r="K83" s="141">
        <f t="shared" ref="K83" si="4">G83*I83</f>
        <v>1396500</v>
      </c>
      <c r="L83" s="125">
        <v>241</v>
      </c>
      <c r="M83" s="93"/>
      <c r="N83" s="93"/>
      <c r="O83" s="93"/>
      <c r="P83" s="93"/>
      <c r="Q83" s="93"/>
      <c r="R83" s="93"/>
      <c r="S83" s="93"/>
      <c r="T83" s="93"/>
      <c r="U83" s="93"/>
    </row>
    <row r="84" spans="1:21" s="94" customFormat="1" ht="31.5" customHeight="1" x14ac:dyDescent="0.2">
      <c r="A84" s="134">
        <v>234</v>
      </c>
      <c r="B84" s="132" t="s">
        <v>132</v>
      </c>
      <c r="C84" s="132"/>
      <c r="D84" s="132" t="s">
        <v>12</v>
      </c>
      <c r="E84" s="131">
        <v>2010</v>
      </c>
      <c r="F84" s="132" t="s">
        <v>133</v>
      </c>
      <c r="G84" s="133">
        <v>9500</v>
      </c>
      <c r="H84" s="139"/>
      <c r="I84" s="140">
        <v>147</v>
      </c>
      <c r="J84" s="140"/>
      <c r="K84" s="141">
        <f>G84*I84</f>
        <v>1396500</v>
      </c>
      <c r="L84" s="125">
        <v>242</v>
      </c>
      <c r="M84" s="93"/>
      <c r="N84" s="93"/>
      <c r="O84" s="93"/>
      <c r="P84" s="93"/>
      <c r="Q84" s="93"/>
      <c r="R84" s="93"/>
      <c r="S84" s="93"/>
      <c r="T84" s="93"/>
      <c r="U84" s="93"/>
    </row>
    <row r="85" spans="1:21" s="96" customFormat="1" ht="39.75" customHeight="1" x14ac:dyDescent="0.2">
      <c r="A85" s="134">
        <v>235</v>
      </c>
      <c r="B85" s="132" t="s">
        <v>134</v>
      </c>
      <c r="C85" s="132">
        <v>2009</v>
      </c>
      <c r="D85" s="132" t="s">
        <v>12</v>
      </c>
      <c r="E85" s="131">
        <v>2010</v>
      </c>
      <c r="F85" s="132" t="s">
        <v>14</v>
      </c>
      <c r="G85" s="133">
        <f>K85/I85</f>
        <v>5120.4571428571435</v>
      </c>
      <c r="H85" s="142" t="s">
        <v>104</v>
      </c>
      <c r="I85" s="140">
        <v>147</v>
      </c>
      <c r="J85" s="140">
        <v>4.87</v>
      </c>
      <c r="K85" s="141">
        <f>154560*J85</f>
        <v>752707.20000000007</v>
      </c>
      <c r="L85" s="125">
        <v>243</v>
      </c>
      <c r="M85" s="93"/>
      <c r="N85" s="93"/>
      <c r="O85" s="93"/>
      <c r="P85" s="93"/>
      <c r="Q85" s="93"/>
      <c r="R85" s="93"/>
      <c r="S85" s="93"/>
      <c r="T85" s="93"/>
      <c r="U85" s="93"/>
    </row>
    <row r="86" spans="1:21" s="106" customFormat="1" ht="35.25" customHeight="1" x14ac:dyDescent="0.2">
      <c r="A86" s="134">
        <v>236</v>
      </c>
      <c r="B86" s="132" t="s">
        <v>13</v>
      </c>
      <c r="C86" s="132">
        <v>2010</v>
      </c>
      <c r="D86" s="132" t="s">
        <v>12</v>
      </c>
      <c r="E86" s="131">
        <v>2010</v>
      </c>
      <c r="F86" s="132" t="s">
        <v>14</v>
      </c>
      <c r="G86" s="133">
        <f>K86/I86</f>
        <v>7566.9897959183672</v>
      </c>
      <c r="H86" s="142" t="s">
        <v>59</v>
      </c>
      <c r="I86" s="140">
        <v>147</v>
      </c>
      <c r="J86" s="140">
        <v>4.8499999999999996</v>
      </c>
      <c r="K86" s="141">
        <f>229350*J86</f>
        <v>1112347.5</v>
      </c>
      <c r="L86" s="125">
        <v>244</v>
      </c>
      <c r="M86" s="126"/>
      <c r="N86" s="126"/>
      <c r="O86" s="126"/>
      <c r="P86" s="126"/>
      <c r="Q86" s="126"/>
      <c r="R86" s="126"/>
      <c r="S86" s="126"/>
      <c r="T86" s="126"/>
      <c r="U86" s="126"/>
    </row>
    <row r="87" spans="1:21" s="106" customFormat="1" ht="25.5" customHeight="1" x14ac:dyDescent="0.2">
      <c r="A87" s="134">
        <v>237</v>
      </c>
      <c r="B87" s="132" t="s">
        <v>135</v>
      </c>
      <c r="C87" s="132">
        <v>2002</v>
      </c>
      <c r="D87" s="132" t="s">
        <v>12</v>
      </c>
      <c r="E87" s="131">
        <v>2010</v>
      </c>
      <c r="F87" s="132" t="s">
        <v>14</v>
      </c>
      <c r="G87" s="133">
        <f>K87/I87</f>
        <v>4589.0639455782311</v>
      </c>
      <c r="H87" s="142" t="s">
        <v>116</v>
      </c>
      <c r="I87" s="140">
        <v>147</v>
      </c>
      <c r="J87" s="140">
        <v>4.87</v>
      </c>
      <c r="K87" s="141">
        <f>138520*J87</f>
        <v>674592.4</v>
      </c>
      <c r="L87" s="125">
        <v>245</v>
      </c>
      <c r="M87" s="126"/>
      <c r="N87" s="126"/>
      <c r="O87" s="126"/>
      <c r="P87" s="126"/>
      <c r="Q87" s="126"/>
      <c r="R87" s="126"/>
      <c r="S87" s="126"/>
      <c r="T87" s="126"/>
      <c r="U87" s="126"/>
    </row>
    <row r="88" spans="1:21" s="106" customFormat="1" ht="34.5" customHeight="1" x14ac:dyDescent="0.2">
      <c r="A88" s="134">
        <v>238</v>
      </c>
      <c r="B88" s="132" t="s">
        <v>136</v>
      </c>
      <c r="C88" s="132">
        <v>2009</v>
      </c>
      <c r="D88" s="132" t="s">
        <v>12</v>
      </c>
      <c r="E88" s="131">
        <v>2010</v>
      </c>
      <c r="F88" s="132" t="s">
        <v>14</v>
      </c>
      <c r="G88" s="133">
        <f>K88/I88</f>
        <v>5337.1224489795923</v>
      </c>
      <c r="H88" s="142" t="s">
        <v>137</v>
      </c>
      <c r="I88" s="140">
        <v>147</v>
      </c>
      <c r="J88" s="140">
        <v>4.87</v>
      </c>
      <c r="K88" s="141">
        <f>161100*J88</f>
        <v>784557</v>
      </c>
      <c r="L88" s="125">
        <v>246</v>
      </c>
      <c r="M88" s="126"/>
      <c r="N88" s="126"/>
      <c r="O88" s="126"/>
      <c r="P88" s="126"/>
      <c r="Q88" s="126"/>
      <c r="R88" s="126"/>
      <c r="S88" s="126"/>
      <c r="T88" s="126"/>
      <c r="U88" s="126"/>
    </row>
    <row r="89" spans="1:21" s="107" customFormat="1" ht="39" customHeight="1" x14ac:dyDescent="0.2">
      <c r="A89" s="134">
        <v>239</v>
      </c>
      <c r="B89" s="132" t="s">
        <v>138</v>
      </c>
      <c r="C89" s="132">
        <v>2009</v>
      </c>
      <c r="D89" s="132" t="s">
        <v>12</v>
      </c>
      <c r="E89" s="131">
        <v>2010</v>
      </c>
      <c r="F89" s="132" t="s">
        <v>14</v>
      </c>
      <c r="G89" s="133">
        <f>K89/I89</f>
        <v>894.11564625850338</v>
      </c>
      <c r="H89" s="142" t="s">
        <v>269</v>
      </c>
      <c r="I89" s="140">
        <v>147</v>
      </c>
      <c r="J89" s="140">
        <v>4.8499999999999996</v>
      </c>
      <c r="K89" s="141">
        <f>27100*J89</f>
        <v>131435</v>
      </c>
      <c r="L89" s="125">
        <v>247</v>
      </c>
      <c r="M89" s="126"/>
      <c r="N89" s="126"/>
      <c r="O89" s="126"/>
      <c r="P89" s="126"/>
      <c r="Q89" s="126"/>
      <c r="R89" s="126"/>
      <c r="S89" s="126"/>
      <c r="T89" s="126"/>
      <c r="U89" s="126"/>
    </row>
    <row r="90" spans="1:21" s="106" customFormat="1" ht="37.5" customHeight="1" x14ac:dyDescent="0.2">
      <c r="A90" s="134">
        <v>240</v>
      </c>
      <c r="B90" s="132" t="s">
        <v>139</v>
      </c>
      <c r="C90" s="132">
        <v>2009</v>
      </c>
      <c r="D90" s="132" t="s">
        <v>12</v>
      </c>
      <c r="E90" s="131">
        <v>2010</v>
      </c>
      <c r="F90" s="132" t="s">
        <v>14</v>
      </c>
      <c r="G90" s="133">
        <f t="shared" ref="G90:G97" si="5">K90/I90</f>
        <v>7598.1938775510207</v>
      </c>
      <c r="H90" s="142" t="s">
        <v>59</v>
      </c>
      <c r="I90" s="140">
        <v>147</v>
      </c>
      <c r="J90" s="140">
        <v>4.87</v>
      </c>
      <c r="K90" s="141">
        <f>229350*J90</f>
        <v>1116934.5</v>
      </c>
      <c r="L90" s="125">
        <v>248</v>
      </c>
      <c r="M90" s="126"/>
      <c r="N90" s="126"/>
      <c r="O90" s="126"/>
      <c r="P90" s="126"/>
      <c r="Q90" s="126"/>
      <c r="R90" s="126"/>
      <c r="S90" s="126"/>
      <c r="T90" s="126"/>
      <c r="U90" s="126"/>
    </row>
    <row r="91" spans="1:21" s="106" customFormat="1" ht="35.25" customHeight="1" x14ac:dyDescent="0.2">
      <c r="A91" s="134">
        <v>241</v>
      </c>
      <c r="B91" s="132" t="s">
        <v>140</v>
      </c>
      <c r="C91" s="132">
        <v>1995</v>
      </c>
      <c r="D91" s="132" t="s">
        <v>12</v>
      </c>
      <c r="E91" s="131">
        <v>2010</v>
      </c>
      <c r="F91" s="132" t="s">
        <v>14</v>
      </c>
      <c r="G91" s="133">
        <f t="shared" si="5"/>
        <v>3813.7142857142858</v>
      </c>
      <c r="H91" s="142" t="s">
        <v>102</v>
      </c>
      <c r="I91" s="140">
        <v>147</v>
      </c>
      <c r="J91" s="140">
        <v>4.97</v>
      </c>
      <c r="K91" s="141">
        <f>112800*J91</f>
        <v>560616</v>
      </c>
      <c r="L91" s="125">
        <v>249</v>
      </c>
      <c r="M91" s="126"/>
      <c r="N91" s="126"/>
      <c r="O91" s="126"/>
      <c r="P91" s="126"/>
      <c r="Q91" s="126"/>
      <c r="R91" s="126"/>
      <c r="S91" s="126"/>
      <c r="T91" s="126"/>
      <c r="U91" s="126"/>
    </row>
    <row r="92" spans="1:21" s="106" customFormat="1" ht="35.25" customHeight="1" x14ac:dyDescent="0.2">
      <c r="A92" s="134">
        <v>242</v>
      </c>
      <c r="B92" s="132" t="s">
        <v>31</v>
      </c>
      <c r="C92" s="132">
        <v>2010</v>
      </c>
      <c r="D92" s="132" t="s">
        <v>12</v>
      </c>
      <c r="E92" s="131">
        <v>2010</v>
      </c>
      <c r="F92" s="132" t="s">
        <v>14</v>
      </c>
      <c r="G92" s="133">
        <f t="shared" si="5"/>
        <v>5570.6836734693879</v>
      </c>
      <c r="H92" s="142" t="s">
        <v>68</v>
      </c>
      <c r="I92" s="140">
        <v>147</v>
      </c>
      <c r="J92" s="140">
        <v>4.87</v>
      </c>
      <c r="K92" s="141">
        <f>168150*J92</f>
        <v>818890.5</v>
      </c>
      <c r="L92" s="125">
        <v>250</v>
      </c>
      <c r="M92" s="126"/>
      <c r="N92" s="126"/>
      <c r="O92" s="126"/>
      <c r="P92" s="126"/>
      <c r="Q92" s="126"/>
      <c r="R92" s="126"/>
      <c r="S92" s="126"/>
      <c r="T92" s="126"/>
      <c r="U92" s="126"/>
    </row>
    <row r="93" spans="1:21" s="106" customFormat="1" ht="35.25" customHeight="1" x14ac:dyDescent="0.2">
      <c r="A93" s="134">
        <v>243</v>
      </c>
      <c r="B93" s="132" t="s">
        <v>141</v>
      </c>
      <c r="C93" s="132">
        <v>2006</v>
      </c>
      <c r="D93" s="132" t="s">
        <v>12</v>
      </c>
      <c r="E93" s="131">
        <v>2010</v>
      </c>
      <c r="F93" s="132" t="s">
        <v>14</v>
      </c>
      <c r="G93" s="133">
        <f t="shared" si="5"/>
        <v>3674.0340136054424</v>
      </c>
      <c r="H93" s="142" t="s">
        <v>142</v>
      </c>
      <c r="I93" s="140">
        <v>147</v>
      </c>
      <c r="J93" s="140">
        <v>4.87</v>
      </c>
      <c r="K93" s="141">
        <f>110900*J93</f>
        <v>540083</v>
      </c>
      <c r="L93" s="125">
        <v>251</v>
      </c>
      <c r="M93" s="126"/>
      <c r="N93" s="126"/>
      <c r="O93" s="126"/>
      <c r="P93" s="126"/>
      <c r="Q93" s="126"/>
      <c r="R93" s="126"/>
      <c r="S93" s="126"/>
      <c r="T93" s="126"/>
      <c r="U93" s="126"/>
    </row>
    <row r="94" spans="1:21" s="106" customFormat="1" ht="35.25" customHeight="1" x14ac:dyDescent="0.2">
      <c r="A94" s="134">
        <v>244</v>
      </c>
      <c r="B94" s="132" t="s">
        <v>143</v>
      </c>
      <c r="C94" s="132">
        <v>2004</v>
      </c>
      <c r="D94" s="132" t="s">
        <v>12</v>
      </c>
      <c r="E94" s="131">
        <v>2010</v>
      </c>
      <c r="F94" s="132" t="s">
        <v>14</v>
      </c>
      <c r="G94" s="133">
        <f t="shared" si="5"/>
        <v>3674.0340136054424</v>
      </c>
      <c r="H94" s="142" t="s">
        <v>142</v>
      </c>
      <c r="I94" s="140">
        <v>147</v>
      </c>
      <c r="J94" s="140">
        <v>4.87</v>
      </c>
      <c r="K94" s="141">
        <f>110900*J94</f>
        <v>540083</v>
      </c>
      <c r="L94" s="125">
        <v>252</v>
      </c>
      <c r="M94" s="126"/>
      <c r="N94" s="126"/>
      <c r="O94" s="126"/>
      <c r="P94" s="126"/>
      <c r="Q94" s="126"/>
      <c r="R94" s="126"/>
      <c r="S94" s="126"/>
      <c r="T94" s="126"/>
      <c r="U94" s="126"/>
    </row>
    <row r="95" spans="1:21" s="106" customFormat="1" ht="35.25" customHeight="1" x14ac:dyDescent="0.2">
      <c r="A95" s="134">
        <v>245</v>
      </c>
      <c r="B95" s="132" t="s">
        <v>144</v>
      </c>
      <c r="C95" s="132">
        <v>2009</v>
      </c>
      <c r="D95" s="132" t="s">
        <v>12</v>
      </c>
      <c r="E95" s="131">
        <v>2010</v>
      </c>
      <c r="F95" s="132" t="s">
        <v>14</v>
      </c>
      <c r="G95" s="133">
        <f t="shared" si="5"/>
        <v>7629.3979591836733</v>
      </c>
      <c r="H95" s="142" t="s">
        <v>59</v>
      </c>
      <c r="I95" s="140">
        <v>147</v>
      </c>
      <c r="J95" s="140">
        <v>4.8899999999999997</v>
      </c>
      <c r="K95" s="141">
        <f>229350*J95</f>
        <v>1121521.5</v>
      </c>
      <c r="L95" s="125">
        <v>253</v>
      </c>
      <c r="M95" s="126"/>
      <c r="N95" s="126"/>
      <c r="O95" s="126"/>
      <c r="P95" s="126"/>
      <c r="Q95" s="126"/>
      <c r="R95" s="126"/>
      <c r="S95" s="126"/>
      <c r="T95" s="126"/>
      <c r="U95" s="126"/>
    </row>
    <row r="96" spans="1:21" s="112" customFormat="1" ht="35.25" customHeight="1" x14ac:dyDescent="0.2">
      <c r="A96" s="134"/>
      <c r="B96" s="132" t="s">
        <v>145</v>
      </c>
      <c r="C96" s="132">
        <v>2001</v>
      </c>
      <c r="D96" s="132" t="s">
        <v>12</v>
      </c>
      <c r="E96" s="131">
        <v>2010</v>
      </c>
      <c r="F96" s="132" t="s">
        <v>14</v>
      </c>
      <c r="G96" s="133">
        <f t="shared" si="5"/>
        <v>14322.285714285714</v>
      </c>
      <c r="H96" s="142" t="s">
        <v>246</v>
      </c>
      <c r="I96" s="140">
        <v>147</v>
      </c>
      <c r="J96" s="140">
        <v>4.82</v>
      </c>
      <c r="K96" s="141">
        <f>436800*J96</f>
        <v>2105376</v>
      </c>
      <c r="L96" s="125">
        <v>254</v>
      </c>
      <c r="M96" s="126"/>
      <c r="N96" s="126"/>
      <c r="O96" s="126"/>
      <c r="P96" s="126"/>
      <c r="Q96" s="126"/>
      <c r="R96" s="126"/>
      <c r="S96" s="126"/>
      <c r="T96" s="126"/>
      <c r="U96" s="126"/>
    </row>
    <row r="97" spans="1:21" s="124" customFormat="1" ht="36.75" customHeight="1" x14ac:dyDescent="0.2">
      <c r="A97" s="134">
        <v>246</v>
      </c>
      <c r="B97" s="143" t="s">
        <v>146</v>
      </c>
      <c r="C97" s="132">
        <v>2010</v>
      </c>
      <c r="D97" s="132" t="s">
        <v>12</v>
      </c>
      <c r="E97" s="131">
        <v>2010</v>
      </c>
      <c r="F97" s="132" t="s">
        <v>14</v>
      </c>
      <c r="G97" s="133">
        <f t="shared" si="5"/>
        <v>5570.6836734693879</v>
      </c>
      <c r="H97" s="142" t="s">
        <v>68</v>
      </c>
      <c r="I97" s="140">
        <v>147</v>
      </c>
      <c r="J97" s="140">
        <v>4.87</v>
      </c>
      <c r="K97" s="141">
        <f>168150*J97</f>
        <v>818890.5</v>
      </c>
      <c r="L97" s="125">
        <v>255</v>
      </c>
      <c r="M97" s="129"/>
      <c r="N97" s="129"/>
      <c r="O97" s="129"/>
      <c r="P97" s="129"/>
      <c r="Q97" s="129"/>
      <c r="R97" s="129"/>
      <c r="S97" s="129"/>
      <c r="T97" s="129"/>
      <c r="U97" s="129"/>
    </row>
    <row r="98" spans="1:21" s="124" customFormat="1" ht="48" customHeight="1" x14ac:dyDescent="0.2">
      <c r="A98" s="144">
        <v>247</v>
      </c>
      <c r="B98" s="145" t="s">
        <v>147</v>
      </c>
      <c r="C98" s="146">
        <v>1999</v>
      </c>
      <c r="D98" s="132" t="s">
        <v>29</v>
      </c>
      <c r="E98" s="131">
        <v>2010</v>
      </c>
      <c r="F98" s="132" t="s">
        <v>148</v>
      </c>
      <c r="G98" s="133">
        <v>9500</v>
      </c>
      <c r="H98" s="142"/>
      <c r="I98" s="140">
        <v>147</v>
      </c>
      <c r="J98" s="140"/>
      <c r="K98" s="141">
        <f t="shared" ref="K98:K141" si="6">G98*I98</f>
        <v>1396500</v>
      </c>
      <c r="L98" s="125">
        <v>256</v>
      </c>
      <c r="M98" s="129"/>
      <c r="N98" s="129"/>
      <c r="O98" s="129"/>
      <c r="P98" s="129"/>
      <c r="Q98" s="129"/>
      <c r="R98" s="129"/>
      <c r="S98" s="129"/>
      <c r="T98" s="129"/>
      <c r="U98" s="129"/>
    </row>
    <row r="99" spans="1:21" s="124" customFormat="1" ht="36.75" customHeight="1" x14ac:dyDescent="0.2">
      <c r="A99" s="134">
        <v>248</v>
      </c>
      <c r="B99" s="137" t="s">
        <v>149</v>
      </c>
      <c r="C99" s="132">
        <v>2008</v>
      </c>
      <c r="D99" s="132" t="s">
        <v>12</v>
      </c>
      <c r="E99" s="131">
        <v>2010</v>
      </c>
      <c r="F99" s="132" t="s">
        <v>22</v>
      </c>
      <c r="G99" s="133">
        <v>9500</v>
      </c>
      <c r="H99" s="142"/>
      <c r="I99" s="140">
        <v>147</v>
      </c>
      <c r="J99" s="140"/>
      <c r="K99" s="141">
        <f t="shared" si="6"/>
        <v>1396500</v>
      </c>
      <c r="L99" s="125">
        <v>257</v>
      </c>
      <c r="M99" s="129"/>
      <c r="N99" s="129"/>
      <c r="O99" s="129"/>
      <c r="P99" s="129"/>
      <c r="Q99" s="129"/>
      <c r="R99" s="129"/>
      <c r="S99" s="129"/>
      <c r="T99" s="129"/>
      <c r="U99" s="129"/>
    </row>
    <row r="100" spans="1:21" s="124" customFormat="1" ht="36.75" customHeight="1" x14ac:dyDescent="0.2">
      <c r="A100" s="134">
        <v>249</v>
      </c>
      <c r="B100" s="132" t="s">
        <v>150</v>
      </c>
      <c r="C100" s="132">
        <v>2005</v>
      </c>
      <c r="D100" s="132" t="s">
        <v>12</v>
      </c>
      <c r="E100" s="131">
        <v>2010</v>
      </c>
      <c r="F100" s="132" t="s">
        <v>22</v>
      </c>
      <c r="G100" s="133">
        <v>9500</v>
      </c>
      <c r="H100" s="142"/>
      <c r="I100" s="140">
        <v>147</v>
      </c>
      <c r="J100" s="140"/>
      <c r="K100" s="141">
        <f t="shared" si="6"/>
        <v>1396500</v>
      </c>
      <c r="L100" s="125">
        <v>258</v>
      </c>
      <c r="M100" s="129"/>
      <c r="N100" s="129"/>
      <c r="O100" s="129"/>
      <c r="P100" s="129"/>
      <c r="Q100" s="129"/>
      <c r="R100" s="129"/>
      <c r="S100" s="129"/>
      <c r="T100" s="129"/>
      <c r="U100" s="129"/>
    </row>
    <row r="101" spans="1:21" s="124" customFormat="1" ht="36.75" customHeight="1" x14ac:dyDescent="0.2">
      <c r="A101" s="134">
        <v>250</v>
      </c>
      <c r="B101" s="132" t="s">
        <v>151</v>
      </c>
      <c r="C101" s="132">
        <v>2006</v>
      </c>
      <c r="D101" s="132" t="s">
        <v>12</v>
      </c>
      <c r="E101" s="131">
        <v>2010</v>
      </c>
      <c r="F101" s="132" t="s">
        <v>22</v>
      </c>
      <c r="G101" s="133">
        <v>9500</v>
      </c>
      <c r="H101" s="142"/>
      <c r="I101" s="140">
        <v>147</v>
      </c>
      <c r="J101" s="140"/>
      <c r="K101" s="141">
        <f t="shared" si="6"/>
        <v>1396500</v>
      </c>
      <c r="L101" s="125">
        <v>259</v>
      </c>
      <c r="M101" s="129"/>
      <c r="N101" s="129"/>
      <c r="O101" s="129"/>
      <c r="P101" s="129"/>
      <c r="Q101" s="129"/>
      <c r="R101" s="129"/>
      <c r="S101" s="129"/>
      <c r="T101" s="129"/>
      <c r="U101" s="129"/>
    </row>
    <row r="102" spans="1:21" s="124" customFormat="1" ht="36.75" customHeight="1" x14ac:dyDescent="0.2">
      <c r="A102" s="134">
        <v>251</v>
      </c>
      <c r="B102" s="132" t="s">
        <v>152</v>
      </c>
      <c r="C102" s="132">
        <v>2010</v>
      </c>
      <c r="D102" s="132" t="s">
        <v>12</v>
      </c>
      <c r="E102" s="131">
        <v>2010</v>
      </c>
      <c r="F102" s="132" t="s">
        <v>35</v>
      </c>
      <c r="G102" s="133">
        <f>K102/I102</f>
        <v>104.27210884353741</v>
      </c>
      <c r="H102" s="142" t="s">
        <v>241</v>
      </c>
      <c r="I102" s="140">
        <v>147</v>
      </c>
      <c r="J102" s="140">
        <v>4.79</v>
      </c>
      <c r="K102" s="141">
        <f>3200*J102</f>
        <v>15328</v>
      </c>
      <c r="L102" s="125">
        <v>260</v>
      </c>
      <c r="M102" s="129"/>
      <c r="N102" s="129"/>
      <c r="O102" s="129"/>
      <c r="P102" s="129"/>
      <c r="Q102" s="129"/>
      <c r="R102" s="129"/>
      <c r="S102" s="129"/>
      <c r="T102" s="129"/>
      <c r="U102" s="129"/>
    </row>
    <row r="103" spans="1:21" s="124" customFormat="1" ht="36.75" customHeight="1" x14ac:dyDescent="0.2">
      <c r="A103" s="134">
        <v>252</v>
      </c>
      <c r="B103" s="132" t="s">
        <v>153</v>
      </c>
      <c r="C103" s="132">
        <v>1999</v>
      </c>
      <c r="D103" s="132" t="s">
        <v>12</v>
      </c>
      <c r="E103" s="131">
        <v>2010</v>
      </c>
      <c r="F103" s="132" t="s">
        <v>14</v>
      </c>
      <c r="G103" s="133">
        <f>K103/I103</f>
        <v>4853.4448979591834</v>
      </c>
      <c r="H103" s="142" t="s">
        <v>70</v>
      </c>
      <c r="I103" s="140">
        <v>147</v>
      </c>
      <c r="J103" s="140">
        <v>4.82</v>
      </c>
      <c r="K103" s="141">
        <f>148020*J103</f>
        <v>713456.4</v>
      </c>
      <c r="L103" s="125">
        <v>261</v>
      </c>
      <c r="M103" s="129"/>
      <c r="N103" s="129"/>
      <c r="O103" s="129"/>
      <c r="P103" s="129"/>
      <c r="Q103" s="129"/>
      <c r="R103" s="129"/>
      <c r="S103" s="129"/>
      <c r="T103" s="129"/>
      <c r="U103" s="129"/>
    </row>
    <row r="104" spans="1:21" s="124" customFormat="1" ht="36.75" customHeight="1" x14ac:dyDescent="0.2">
      <c r="A104" s="134">
        <v>253</v>
      </c>
      <c r="B104" s="132" t="s">
        <v>154</v>
      </c>
      <c r="C104" s="132">
        <v>2004</v>
      </c>
      <c r="D104" s="132" t="s">
        <v>12</v>
      </c>
      <c r="E104" s="131">
        <v>2010</v>
      </c>
      <c r="F104" s="132" t="s">
        <v>14</v>
      </c>
      <c r="G104" s="133">
        <f>K104/I104</f>
        <v>4782.9591836734689</v>
      </c>
      <c r="H104" s="142" t="s">
        <v>70</v>
      </c>
      <c r="I104" s="140">
        <v>147</v>
      </c>
      <c r="J104" s="140">
        <v>4.75</v>
      </c>
      <c r="K104" s="141">
        <f>148020*J104</f>
        <v>703095</v>
      </c>
      <c r="L104" s="125">
        <v>262</v>
      </c>
      <c r="M104" s="129"/>
      <c r="N104" s="129"/>
      <c r="O104" s="129"/>
      <c r="P104" s="129"/>
      <c r="Q104" s="129"/>
      <c r="R104" s="129"/>
      <c r="S104" s="129"/>
      <c r="T104" s="129"/>
      <c r="U104" s="129"/>
    </row>
    <row r="105" spans="1:21" s="124" customFormat="1" ht="36.75" customHeight="1" x14ac:dyDescent="0.2">
      <c r="A105" s="134">
        <v>254</v>
      </c>
      <c r="B105" s="132" t="s">
        <v>155</v>
      </c>
      <c r="C105" s="132">
        <v>2009</v>
      </c>
      <c r="D105" s="132" t="s">
        <v>12</v>
      </c>
      <c r="E105" s="131">
        <v>2010</v>
      </c>
      <c r="F105" s="132" t="s">
        <v>14</v>
      </c>
      <c r="G105" s="133">
        <f>K105/I105</f>
        <v>13371.405442176871</v>
      </c>
      <c r="H105" s="142" t="s">
        <v>156</v>
      </c>
      <c r="I105" s="140">
        <v>147</v>
      </c>
      <c r="J105" s="140">
        <v>4.84</v>
      </c>
      <c r="K105" s="141">
        <f>406115*J105</f>
        <v>1965596.5999999999</v>
      </c>
      <c r="L105" s="125">
        <v>263</v>
      </c>
      <c r="M105" s="129"/>
      <c r="N105" s="129"/>
      <c r="O105" s="129"/>
      <c r="P105" s="129"/>
      <c r="Q105" s="129"/>
      <c r="R105" s="129"/>
      <c r="S105" s="129"/>
      <c r="T105" s="129"/>
      <c r="U105" s="129"/>
    </row>
    <row r="106" spans="1:21" s="124" customFormat="1" ht="36.75" customHeight="1" x14ac:dyDescent="0.2">
      <c r="A106" s="134">
        <v>255</v>
      </c>
      <c r="B106" s="132" t="s">
        <v>240</v>
      </c>
      <c r="C106" s="132"/>
      <c r="D106" s="132" t="s">
        <v>12</v>
      </c>
      <c r="E106" s="131">
        <v>2010</v>
      </c>
      <c r="F106" s="132" t="s">
        <v>22</v>
      </c>
      <c r="G106" s="133">
        <v>7700</v>
      </c>
      <c r="H106" s="142"/>
      <c r="I106" s="140">
        <v>147</v>
      </c>
      <c r="J106" s="140"/>
      <c r="K106" s="141">
        <f t="shared" si="6"/>
        <v>1131900</v>
      </c>
      <c r="L106" s="125">
        <v>264</v>
      </c>
      <c r="M106" s="129"/>
      <c r="N106" s="129"/>
      <c r="O106" s="129"/>
      <c r="P106" s="129"/>
      <c r="Q106" s="129"/>
      <c r="R106" s="129"/>
      <c r="S106" s="129"/>
      <c r="T106" s="129"/>
      <c r="U106" s="129"/>
    </row>
    <row r="107" spans="1:21" s="124" customFormat="1" ht="36.75" customHeight="1" x14ac:dyDescent="0.2">
      <c r="A107" s="134">
        <v>256</v>
      </c>
      <c r="B107" s="132" t="s">
        <v>157</v>
      </c>
      <c r="C107" s="132">
        <v>2005</v>
      </c>
      <c r="D107" s="132" t="s">
        <v>12</v>
      </c>
      <c r="E107" s="131">
        <v>2010</v>
      </c>
      <c r="F107" s="132" t="s">
        <v>14</v>
      </c>
      <c r="G107" s="133">
        <f t="shared" ref="G107:G112" si="7">K107/I107</f>
        <v>6909.8639455782313</v>
      </c>
      <c r="H107" s="142" t="s">
        <v>158</v>
      </c>
      <c r="I107" s="140">
        <v>147</v>
      </c>
      <c r="J107" s="140">
        <v>4.78</v>
      </c>
      <c r="K107" s="141">
        <f>212500*J107</f>
        <v>1015750</v>
      </c>
      <c r="L107" s="125">
        <v>265</v>
      </c>
      <c r="M107" s="129"/>
      <c r="N107" s="129"/>
      <c r="O107" s="129"/>
      <c r="P107" s="129"/>
      <c r="Q107" s="129"/>
      <c r="R107" s="129"/>
      <c r="S107" s="129"/>
      <c r="T107" s="129"/>
      <c r="U107" s="129"/>
    </row>
    <row r="108" spans="1:21" s="124" customFormat="1" ht="36.75" customHeight="1" x14ac:dyDescent="0.2">
      <c r="A108" s="134">
        <v>257</v>
      </c>
      <c r="B108" s="132" t="s">
        <v>159</v>
      </c>
      <c r="C108" s="132">
        <v>2009</v>
      </c>
      <c r="D108" s="132" t="s">
        <v>12</v>
      </c>
      <c r="E108" s="131">
        <v>2010</v>
      </c>
      <c r="F108" s="132" t="s">
        <v>14</v>
      </c>
      <c r="G108" s="133">
        <f t="shared" si="7"/>
        <v>5433.4183673469388</v>
      </c>
      <c r="H108" s="142" t="s">
        <v>68</v>
      </c>
      <c r="I108" s="140">
        <v>147</v>
      </c>
      <c r="J108" s="140">
        <v>4.75</v>
      </c>
      <c r="K108" s="141">
        <f>168150*J108</f>
        <v>798712.5</v>
      </c>
      <c r="L108" s="125">
        <v>266</v>
      </c>
      <c r="M108" s="129"/>
      <c r="N108" s="129"/>
      <c r="O108" s="129"/>
      <c r="P108" s="129"/>
      <c r="Q108" s="129"/>
      <c r="R108" s="129"/>
      <c r="S108" s="129"/>
      <c r="T108" s="129"/>
      <c r="U108" s="129"/>
    </row>
    <row r="109" spans="1:21" s="106" customFormat="1" ht="34.5" customHeight="1" x14ac:dyDescent="0.2">
      <c r="A109" s="134">
        <v>258</v>
      </c>
      <c r="B109" s="132" t="s">
        <v>160</v>
      </c>
      <c r="C109" s="132">
        <v>2005</v>
      </c>
      <c r="D109" s="132" t="s">
        <v>12</v>
      </c>
      <c r="E109" s="131">
        <v>2010</v>
      </c>
      <c r="F109" s="132" t="s">
        <v>14</v>
      </c>
      <c r="G109" s="133">
        <f t="shared" si="7"/>
        <v>7204.8095238095239</v>
      </c>
      <c r="H109" s="142" t="s">
        <v>161</v>
      </c>
      <c r="I109" s="140">
        <v>147</v>
      </c>
      <c r="J109" s="140">
        <v>4.97</v>
      </c>
      <c r="K109" s="141">
        <f>213100*J109</f>
        <v>1059107</v>
      </c>
      <c r="L109" s="125">
        <v>267</v>
      </c>
      <c r="M109" s="126"/>
      <c r="N109" s="126"/>
      <c r="O109" s="126"/>
      <c r="P109" s="126"/>
      <c r="Q109" s="126"/>
      <c r="R109" s="126"/>
      <c r="S109" s="126"/>
      <c r="T109" s="126"/>
      <c r="U109" s="126"/>
    </row>
    <row r="110" spans="1:21" s="106" customFormat="1" ht="37.5" customHeight="1" x14ac:dyDescent="0.2">
      <c r="A110" s="134">
        <v>259</v>
      </c>
      <c r="B110" s="132" t="s">
        <v>162</v>
      </c>
      <c r="C110" s="132">
        <v>2009</v>
      </c>
      <c r="D110" s="132" t="s">
        <v>12</v>
      </c>
      <c r="E110" s="131">
        <v>2010</v>
      </c>
      <c r="F110" s="132" t="s">
        <v>14</v>
      </c>
      <c r="G110" s="133">
        <f t="shared" si="7"/>
        <v>5353.6829931972788</v>
      </c>
      <c r="H110" s="142" t="s">
        <v>163</v>
      </c>
      <c r="I110" s="140">
        <v>147</v>
      </c>
      <c r="J110" s="140">
        <v>4.9400000000000004</v>
      </c>
      <c r="K110" s="141">
        <f>159310*J110</f>
        <v>786991.4</v>
      </c>
      <c r="L110" s="125">
        <v>268</v>
      </c>
      <c r="M110" s="126"/>
      <c r="N110" s="126"/>
      <c r="O110" s="126"/>
      <c r="P110" s="126"/>
      <c r="Q110" s="126"/>
      <c r="R110" s="126"/>
      <c r="S110" s="126"/>
      <c r="T110" s="126"/>
      <c r="U110" s="126"/>
    </row>
    <row r="111" spans="1:21" s="106" customFormat="1" ht="35.25" customHeight="1" x14ac:dyDescent="0.2">
      <c r="A111" s="134">
        <v>260</v>
      </c>
      <c r="B111" s="132" t="s">
        <v>164</v>
      </c>
      <c r="C111" s="132">
        <v>2008</v>
      </c>
      <c r="D111" s="132" t="s">
        <v>12</v>
      </c>
      <c r="E111" s="131">
        <v>2010</v>
      </c>
      <c r="F111" s="132" t="s">
        <v>14</v>
      </c>
      <c r="G111" s="133">
        <f t="shared" si="7"/>
        <v>5153.9115646258506</v>
      </c>
      <c r="H111" s="142" t="s">
        <v>165</v>
      </c>
      <c r="I111" s="140">
        <v>147</v>
      </c>
      <c r="J111" s="140">
        <v>4.75</v>
      </c>
      <c r="K111" s="141">
        <f>159500*J111</f>
        <v>757625</v>
      </c>
      <c r="L111" s="125">
        <v>269</v>
      </c>
      <c r="M111" s="126"/>
      <c r="N111" s="126"/>
      <c r="O111" s="126"/>
      <c r="P111" s="126"/>
      <c r="Q111" s="126"/>
      <c r="R111" s="126"/>
      <c r="S111" s="126"/>
      <c r="T111" s="126"/>
      <c r="U111" s="126"/>
    </row>
    <row r="112" spans="1:21" s="106" customFormat="1" ht="45" customHeight="1" x14ac:dyDescent="0.2">
      <c r="A112" s="134">
        <v>261</v>
      </c>
      <c r="B112" s="132" t="s">
        <v>18</v>
      </c>
      <c r="C112" s="132">
        <v>2005</v>
      </c>
      <c r="D112" s="132" t="s">
        <v>19</v>
      </c>
      <c r="E112" s="131">
        <v>2010</v>
      </c>
      <c r="F112" s="132" t="s">
        <v>20</v>
      </c>
      <c r="G112" s="133">
        <f t="shared" si="7"/>
        <v>4714.5447619047618</v>
      </c>
      <c r="H112" s="142" t="s">
        <v>166</v>
      </c>
      <c r="I112" s="140">
        <v>147</v>
      </c>
      <c r="J112" s="140">
        <v>4.88</v>
      </c>
      <c r="K112" s="141">
        <f>142016*J112</f>
        <v>693038.07999999996</v>
      </c>
      <c r="L112" s="125">
        <v>270</v>
      </c>
      <c r="M112" s="126"/>
      <c r="N112" s="126"/>
      <c r="O112" s="126"/>
      <c r="P112" s="126"/>
      <c r="Q112" s="126"/>
      <c r="R112" s="126"/>
      <c r="S112" s="126"/>
      <c r="T112" s="126"/>
      <c r="U112" s="126"/>
    </row>
    <row r="113" spans="1:21" s="106" customFormat="1" ht="38.25" customHeight="1" x14ac:dyDescent="0.2">
      <c r="A113" s="134"/>
      <c r="B113" s="132" t="s">
        <v>167</v>
      </c>
      <c r="C113" s="132">
        <v>2009</v>
      </c>
      <c r="D113" s="132" t="s">
        <v>12</v>
      </c>
      <c r="E113" s="131">
        <v>2010</v>
      </c>
      <c r="F113" s="132" t="s">
        <v>268</v>
      </c>
      <c r="G113" s="133">
        <f>K113/I113</f>
        <v>4108.0985714285716</v>
      </c>
      <c r="H113" s="142" t="s">
        <v>267</v>
      </c>
      <c r="I113" s="140">
        <v>147</v>
      </c>
      <c r="J113" s="140">
        <v>4.93</v>
      </c>
      <c r="K113" s="141">
        <f>122493*J113</f>
        <v>603890.49</v>
      </c>
      <c r="L113" s="125">
        <v>271</v>
      </c>
      <c r="M113" s="126"/>
      <c r="N113" s="126"/>
      <c r="O113" s="126"/>
      <c r="P113" s="126"/>
      <c r="Q113" s="126"/>
      <c r="R113" s="126"/>
      <c r="S113" s="126"/>
      <c r="T113" s="126"/>
      <c r="U113" s="126"/>
    </row>
    <row r="114" spans="1:21" s="106" customFormat="1" ht="35.25" customHeight="1" x14ac:dyDescent="0.2">
      <c r="A114" s="134">
        <v>262</v>
      </c>
      <c r="B114" s="132" t="s">
        <v>168</v>
      </c>
      <c r="C114" s="132">
        <v>2009</v>
      </c>
      <c r="D114" s="132" t="s">
        <v>12</v>
      </c>
      <c r="E114" s="131">
        <v>2010</v>
      </c>
      <c r="F114" s="132" t="s">
        <v>14</v>
      </c>
      <c r="G114" s="133">
        <f t="shared" ref="G114:G128" si="8">K114/I114</f>
        <v>8788.4795918367345</v>
      </c>
      <c r="H114" s="142" t="s">
        <v>169</v>
      </c>
      <c r="I114" s="140">
        <v>147</v>
      </c>
      <c r="J114" s="140">
        <v>4.93</v>
      </c>
      <c r="K114" s="141">
        <f>262050*J114</f>
        <v>1291906.5</v>
      </c>
      <c r="L114" s="125">
        <v>272</v>
      </c>
      <c r="M114" s="126"/>
      <c r="N114" s="126"/>
      <c r="O114" s="126"/>
      <c r="P114" s="126"/>
      <c r="Q114" s="126"/>
      <c r="R114" s="126"/>
      <c r="S114" s="126"/>
      <c r="T114" s="126"/>
      <c r="U114" s="126"/>
    </row>
    <row r="115" spans="1:21" s="106" customFormat="1" ht="35.25" customHeight="1" x14ac:dyDescent="0.2">
      <c r="A115" s="134"/>
      <c r="B115" s="132" t="s">
        <v>170</v>
      </c>
      <c r="C115" s="132">
        <v>2009</v>
      </c>
      <c r="D115" s="132" t="s">
        <v>12</v>
      </c>
      <c r="E115" s="131">
        <v>2010</v>
      </c>
      <c r="F115" s="132" t="s">
        <v>14</v>
      </c>
      <c r="G115" s="133">
        <f t="shared" si="8"/>
        <v>15328.275510204081</v>
      </c>
      <c r="H115" s="142" t="s">
        <v>171</v>
      </c>
      <c r="I115" s="140">
        <v>147</v>
      </c>
      <c r="J115" s="140">
        <v>4.93</v>
      </c>
      <c r="K115" s="141">
        <f>457050*J115</f>
        <v>2253256.5</v>
      </c>
      <c r="L115" s="125">
        <v>273</v>
      </c>
      <c r="M115" s="126"/>
      <c r="N115" s="126"/>
      <c r="O115" s="126"/>
      <c r="P115" s="126"/>
      <c r="Q115" s="126"/>
      <c r="R115" s="126"/>
      <c r="S115" s="126"/>
      <c r="T115" s="126"/>
      <c r="U115" s="126"/>
    </row>
    <row r="116" spans="1:21" s="106" customFormat="1" ht="35.25" customHeight="1" x14ac:dyDescent="0.2">
      <c r="A116" s="134">
        <v>263</v>
      </c>
      <c r="B116" s="132" t="s">
        <v>172</v>
      </c>
      <c r="C116" s="132">
        <v>2009</v>
      </c>
      <c r="D116" s="132" t="s">
        <v>12</v>
      </c>
      <c r="E116" s="131">
        <v>2010</v>
      </c>
      <c r="F116" s="132" t="s">
        <v>14</v>
      </c>
      <c r="G116" s="133">
        <f t="shared" si="8"/>
        <v>8820.3401360544212</v>
      </c>
      <c r="H116" s="142" t="s">
        <v>173</v>
      </c>
      <c r="I116" s="140">
        <v>147</v>
      </c>
      <c r="J116" s="140">
        <v>4.93</v>
      </c>
      <c r="K116" s="141">
        <f>263000*J116</f>
        <v>1296590</v>
      </c>
      <c r="L116" s="125">
        <v>274</v>
      </c>
      <c r="M116" s="126"/>
      <c r="N116" s="126"/>
      <c r="O116" s="126"/>
      <c r="P116" s="126"/>
      <c r="Q116" s="126"/>
      <c r="R116" s="126"/>
      <c r="S116" s="126"/>
      <c r="T116" s="126"/>
      <c r="U116" s="126"/>
    </row>
    <row r="117" spans="1:21" s="106" customFormat="1" ht="35.25" customHeight="1" x14ac:dyDescent="0.2">
      <c r="A117" s="134">
        <v>264</v>
      </c>
      <c r="B117" s="132" t="s">
        <v>174</v>
      </c>
      <c r="C117" s="132">
        <v>2009</v>
      </c>
      <c r="D117" s="132" t="s">
        <v>12</v>
      </c>
      <c r="E117" s="131">
        <v>2010</v>
      </c>
      <c r="F117" s="132" t="s">
        <v>14</v>
      </c>
      <c r="G117" s="133">
        <f t="shared" si="8"/>
        <v>1709.0714285714287</v>
      </c>
      <c r="H117" s="142" t="s">
        <v>175</v>
      </c>
      <c r="I117" s="140">
        <v>147</v>
      </c>
      <c r="J117" s="140">
        <v>4.97</v>
      </c>
      <c r="K117" s="141">
        <f>50550*J117</f>
        <v>251233.5</v>
      </c>
      <c r="L117" s="125">
        <v>275</v>
      </c>
      <c r="M117" s="126"/>
      <c r="N117" s="126"/>
      <c r="O117" s="126"/>
      <c r="P117" s="126"/>
      <c r="Q117" s="126"/>
      <c r="R117" s="126"/>
      <c r="S117" s="126"/>
      <c r="T117" s="126"/>
      <c r="U117" s="126"/>
    </row>
    <row r="118" spans="1:21" s="106" customFormat="1" ht="35.25" customHeight="1" x14ac:dyDescent="0.2">
      <c r="A118" s="134">
        <v>265</v>
      </c>
      <c r="B118" s="132" t="s">
        <v>176</v>
      </c>
      <c r="C118" s="132">
        <v>1997</v>
      </c>
      <c r="D118" s="132" t="s">
        <v>12</v>
      </c>
      <c r="E118" s="131">
        <v>2010</v>
      </c>
      <c r="F118" s="132" t="s">
        <v>14</v>
      </c>
      <c r="G118" s="133">
        <f t="shared" si="8"/>
        <v>2971.4149659863947</v>
      </c>
      <c r="H118" s="142" t="s">
        <v>177</v>
      </c>
      <c r="I118" s="140">
        <v>147</v>
      </c>
      <c r="J118" s="140">
        <v>4.93</v>
      </c>
      <c r="K118" s="141">
        <f>88600*J118</f>
        <v>436798</v>
      </c>
      <c r="L118" s="125">
        <v>276</v>
      </c>
      <c r="M118" s="126"/>
      <c r="N118" s="126"/>
      <c r="O118" s="126"/>
      <c r="P118" s="126"/>
      <c r="Q118" s="126"/>
      <c r="R118" s="126"/>
      <c r="S118" s="126"/>
      <c r="T118" s="126"/>
      <c r="U118" s="126"/>
    </row>
    <row r="119" spans="1:21" s="124" customFormat="1" ht="36.75" customHeight="1" x14ac:dyDescent="0.2">
      <c r="A119" s="134"/>
      <c r="B119" s="132" t="s">
        <v>97</v>
      </c>
      <c r="C119" s="132">
        <v>2008</v>
      </c>
      <c r="D119" s="132" t="s">
        <v>12</v>
      </c>
      <c r="E119" s="131" t="s">
        <v>178</v>
      </c>
      <c r="F119" s="132" t="s">
        <v>14</v>
      </c>
      <c r="G119" s="133">
        <f t="shared" si="8"/>
        <v>7837.0102040816328</v>
      </c>
      <c r="H119" s="142" t="s">
        <v>179</v>
      </c>
      <c r="I119" s="140">
        <v>147</v>
      </c>
      <c r="J119" s="140">
        <v>4.7</v>
      </c>
      <c r="K119" s="141">
        <f>245115*J119</f>
        <v>1152040.5</v>
      </c>
      <c r="L119" s="125">
        <v>277</v>
      </c>
      <c r="M119" s="129"/>
      <c r="N119" s="129"/>
      <c r="O119" s="129"/>
      <c r="P119" s="129"/>
      <c r="Q119" s="129"/>
      <c r="R119" s="129"/>
      <c r="S119" s="129"/>
      <c r="T119" s="129"/>
      <c r="U119" s="129"/>
    </row>
    <row r="120" spans="1:21" s="124" customFormat="1" ht="36.75" customHeight="1" x14ac:dyDescent="0.2">
      <c r="A120" s="134">
        <v>266</v>
      </c>
      <c r="B120" s="132" t="s">
        <v>180</v>
      </c>
      <c r="C120" s="132">
        <v>2008</v>
      </c>
      <c r="D120" s="132" t="s">
        <v>12</v>
      </c>
      <c r="E120" s="131">
        <v>2010</v>
      </c>
      <c r="F120" s="132" t="s">
        <v>14</v>
      </c>
      <c r="G120" s="133">
        <f t="shared" si="8"/>
        <v>5924.8775510204077</v>
      </c>
      <c r="H120" s="142" t="s">
        <v>181</v>
      </c>
      <c r="I120" s="140">
        <v>147</v>
      </c>
      <c r="J120" s="140">
        <v>4.7</v>
      </c>
      <c r="K120" s="141">
        <f>185310*J120</f>
        <v>870957</v>
      </c>
      <c r="L120" s="125">
        <v>278</v>
      </c>
      <c r="M120" s="129"/>
      <c r="N120" s="129"/>
      <c r="O120" s="129"/>
      <c r="P120" s="129"/>
      <c r="Q120" s="129"/>
      <c r="R120" s="129"/>
      <c r="S120" s="129"/>
      <c r="T120" s="129"/>
      <c r="U120" s="129"/>
    </row>
    <row r="121" spans="1:21" s="106" customFormat="1" ht="36.75" customHeight="1" x14ac:dyDescent="0.2">
      <c r="A121" s="134">
        <v>267</v>
      </c>
      <c r="B121" s="132" t="s">
        <v>182</v>
      </c>
      <c r="C121" s="132">
        <v>2005</v>
      </c>
      <c r="D121" s="132" t="s">
        <v>12</v>
      </c>
      <c r="E121" s="131">
        <v>2010</v>
      </c>
      <c r="F121" s="132" t="s">
        <v>14</v>
      </c>
      <c r="G121" s="133">
        <f t="shared" si="8"/>
        <v>4018.9795918367345</v>
      </c>
      <c r="H121" s="142" t="s">
        <v>183</v>
      </c>
      <c r="I121" s="140">
        <v>147</v>
      </c>
      <c r="J121" s="140">
        <v>4.7</v>
      </c>
      <c r="K121" s="141">
        <f>125700*J121</f>
        <v>590790</v>
      </c>
      <c r="L121" s="125">
        <v>279</v>
      </c>
      <c r="M121" s="126"/>
      <c r="N121" s="126"/>
      <c r="O121" s="126"/>
      <c r="P121" s="126"/>
      <c r="Q121" s="126"/>
      <c r="R121" s="126"/>
      <c r="S121" s="126"/>
      <c r="T121" s="126"/>
      <c r="U121" s="126"/>
    </row>
    <row r="122" spans="1:21" s="106" customFormat="1" ht="36.75" customHeight="1" x14ac:dyDescent="0.2">
      <c r="A122" s="134">
        <v>268</v>
      </c>
      <c r="B122" s="132" t="s">
        <v>184</v>
      </c>
      <c r="C122" s="132">
        <v>2009</v>
      </c>
      <c r="D122" s="132" t="s">
        <v>12</v>
      </c>
      <c r="E122" s="131">
        <v>2010</v>
      </c>
      <c r="F122" s="132" t="s">
        <v>14</v>
      </c>
      <c r="G122" s="133">
        <f t="shared" si="8"/>
        <v>7837.0102040816328</v>
      </c>
      <c r="H122" s="142" t="s">
        <v>179</v>
      </c>
      <c r="I122" s="140">
        <v>147</v>
      </c>
      <c r="J122" s="140">
        <v>4.7</v>
      </c>
      <c r="K122" s="141">
        <f>245115*J122</f>
        <v>1152040.5</v>
      </c>
      <c r="L122" s="125">
        <v>280</v>
      </c>
      <c r="M122" s="126"/>
      <c r="N122" s="126"/>
      <c r="O122" s="126"/>
      <c r="P122" s="126"/>
      <c r="Q122" s="126"/>
      <c r="R122" s="126"/>
      <c r="S122" s="126"/>
      <c r="T122" s="126"/>
      <c r="U122" s="126"/>
    </row>
    <row r="123" spans="1:21" s="96" customFormat="1" ht="36.75" customHeight="1" x14ac:dyDescent="0.2">
      <c r="A123" s="134">
        <v>269</v>
      </c>
      <c r="B123" s="132" t="s">
        <v>185</v>
      </c>
      <c r="C123" s="132">
        <v>2009</v>
      </c>
      <c r="D123" s="132" t="s">
        <v>12</v>
      </c>
      <c r="E123" s="131">
        <v>2010</v>
      </c>
      <c r="F123" s="132" t="s">
        <v>14</v>
      </c>
      <c r="G123" s="133">
        <f t="shared" si="8"/>
        <v>6212.6326530612241</v>
      </c>
      <c r="H123" s="142" t="s">
        <v>30</v>
      </c>
      <c r="I123" s="140">
        <v>147</v>
      </c>
      <c r="J123" s="140">
        <v>4.7</v>
      </c>
      <c r="K123" s="141">
        <f>194310*J123</f>
        <v>913257</v>
      </c>
      <c r="L123" s="125">
        <v>281</v>
      </c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s="96" customFormat="1" ht="36.75" customHeight="1" x14ac:dyDescent="0.2">
      <c r="A124" s="134">
        <v>270</v>
      </c>
      <c r="B124" s="132" t="s">
        <v>186</v>
      </c>
      <c r="C124" s="132">
        <v>2009</v>
      </c>
      <c r="D124" s="132" t="s">
        <v>12</v>
      </c>
      <c r="E124" s="131">
        <v>2010</v>
      </c>
      <c r="F124" s="132" t="s">
        <v>14</v>
      </c>
      <c r="G124" s="133">
        <f t="shared" si="8"/>
        <v>6081.5442176870747</v>
      </c>
      <c r="H124" s="142" t="s">
        <v>187</v>
      </c>
      <c r="I124" s="140">
        <v>147</v>
      </c>
      <c r="J124" s="140">
        <v>4.7</v>
      </c>
      <c r="K124" s="141">
        <f>190210*J124</f>
        <v>893987</v>
      </c>
      <c r="L124" s="125">
        <v>282</v>
      </c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s="96" customFormat="1" ht="36.75" customHeight="1" x14ac:dyDescent="0.2">
      <c r="A125" s="134">
        <v>271</v>
      </c>
      <c r="B125" s="132" t="s">
        <v>188</v>
      </c>
      <c r="C125" s="132">
        <v>2009</v>
      </c>
      <c r="D125" s="132" t="s">
        <v>12</v>
      </c>
      <c r="E125" s="131">
        <v>2010</v>
      </c>
      <c r="F125" s="132" t="s">
        <v>14</v>
      </c>
      <c r="G125" s="133">
        <f t="shared" si="8"/>
        <v>6286.1700680272106</v>
      </c>
      <c r="H125" s="142" t="s">
        <v>264</v>
      </c>
      <c r="I125" s="140">
        <v>147</v>
      </c>
      <c r="J125" s="140">
        <v>4.7</v>
      </c>
      <c r="K125" s="141">
        <f>196610*J125</f>
        <v>924067</v>
      </c>
      <c r="L125" s="125">
        <v>283</v>
      </c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s="96" customFormat="1" ht="36.75" customHeight="1" x14ac:dyDescent="0.2">
      <c r="A126" s="134"/>
      <c r="B126" s="132" t="s">
        <v>189</v>
      </c>
      <c r="C126" s="132">
        <v>2009</v>
      </c>
      <c r="D126" s="132" t="s">
        <v>12</v>
      </c>
      <c r="E126" s="131" t="s">
        <v>178</v>
      </c>
      <c r="F126" s="132" t="s">
        <v>14</v>
      </c>
      <c r="G126" s="133">
        <f t="shared" si="8"/>
        <v>7837.0102040816328</v>
      </c>
      <c r="H126" s="142" t="s">
        <v>179</v>
      </c>
      <c r="I126" s="140">
        <v>147</v>
      </c>
      <c r="J126" s="140">
        <v>4.7</v>
      </c>
      <c r="K126" s="141">
        <f>245115*J126</f>
        <v>1152040.5</v>
      </c>
      <c r="L126" s="125">
        <v>284</v>
      </c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s="96" customFormat="1" ht="34.5" customHeight="1" x14ac:dyDescent="0.2">
      <c r="A127" s="134">
        <v>272</v>
      </c>
      <c r="B127" s="132" t="s">
        <v>190</v>
      </c>
      <c r="C127" s="132">
        <v>1998</v>
      </c>
      <c r="D127" s="132" t="s">
        <v>12</v>
      </c>
      <c r="E127" s="131">
        <v>2010</v>
      </c>
      <c r="F127" s="132" t="s">
        <v>14</v>
      </c>
      <c r="G127" s="133">
        <f t="shared" si="8"/>
        <v>4645.9183673469388</v>
      </c>
      <c r="H127" s="142" t="s">
        <v>191</v>
      </c>
      <c r="I127" s="140">
        <v>147</v>
      </c>
      <c r="J127" s="140">
        <v>4.71</v>
      </c>
      <c r="K127" s="141">
        <f>145000*J127</f>
        <v>682950</v>
      </c>
      <c r="L127" s="125">
        <v>285</v>
      </c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s="106" customFormat="1" ht="35.25" customHeight="1" x14ac:dyDescent="0.2">
      <c r="A128" s="134">
        <v>273</v>
      </c>
      <c r="B128" s="132" t="s">
        <v>192</v>
      </c>
      <c r="C128" s="132">
        <v>2004</v>
      </c>
      <c r="D128" s="132" t="s">
        <v>12</v>
      </c>
      <c r="E128" s="131">
        <v>2010</v>
      </c>
      <c r="F128" s="132" t="s">
        <v>14</v>
      </c>
      <c r="G128" s="133">
        <f t="shared" si="8"/>
        <v>7311.0734693877557</v>
      </c>
      <c r="H128" s="142" t="s">
        <v>38</v>
      </c>
      <c r="I128" s="140">
        <v>147</v>
      </c>
      <c r="J128" s="140">
        <v>4.71</v>
      </c>
      <c r="K128" s="141">
        <f>228180*J128</f>
        <v>1074727.8</v>
      </c>
      <c r="L128" s="125">
        <v>286</v>
      </c>
      <c r="M128" s="126"/>
      <c r="N128" s="126"/>
      <c r="O128" s="126"/>
      <c r="P128" s="126"/>
      <c r="Q128" s="126"/>
      <c r="R128" s="126"/>
      <c r="S128" s="126"/>
      <c r="T128" s="126"/>
      <c r="U128" s="126"/>
    </row>
    <row r="129" spans="1:21" s="96" customFormat="1" ht="45.75" customHeight="1" x14ac:dyDescent="0.2">
      <c r="A129" s="134">
        <v>274</v>
      </c>
      <c r="B129" s="132" t="s">
        <v>10</v>
      </c>
      <c r="C129" s="132">
        <v>1995</v>
      </c>
      <c r="D129" s="132" t="s">
        <v>193</v>
      </c>
      <c r="E129" s="132">
        <v>2010</v>
      </c>
      <c r="F129" s="132" t="s">
        <v>194</v>
      </c>
      <c r="G129" s="133">
        <f>K129/I129</f>
        <v>8217.9455782312925</v>
      </c>
      <c r="H129" s="142" t="s">
        <v>195</v>
      </c>
      <c r="I129" s="140">
        <v>147</v>
      </c>
      <c r="J129" s="140">
        <v>4.79</v>
      </c>
      <c r="K129" s="141">
        <f>252200*J129</f>
        <v>1208038</v>
      </c>
      <c r="L129" s="125">
        <v>287</v>
      </c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s="92" customFormat="1" ht="47.25" customHeight="1" x14ac:dyDescent="0.2">
      <c r="A130" s="134">
        <v>275</v>
      </c>
      <c r="B130" s="132" t="s">
        <v>196</v>
      </c>
      <c r="C130" s="132">
        <v>2009</v>
      </c>
      <c r="D130" s="132" t="s">
        <v>33</v>
      </c>
      <c r="E130" s="132">
        <v>2010</v>
      </c>
      <c r="F130" s="132" t="s">
        <v>197</v>
      </c>
      <c r="G130" s="133">
        <f t="shared" ref="G130:G137" si="9">K130/I130</f>
        <v>1593.9816598639457</v>
      </c>
      <c r="H130" s="142" t="s">
        <v>250</v>
      </c>
      <c r="I130" s="140">
        <v>147</v>
      </c>
      <c r="J130" s="140">
        <v>4.79</v>
      </c>
      <c r="K130" s="141">
        <f>48917.6*J130</f>
        <v>234315.304</v>
      </c>
      <c r="L130" s="125">
        <v>288</v>
      </c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s="96" customFormat="1" ht="34.5" customHeight="1" x14ac:dyDescent="0.2">
      <c r="A131" s="134">
        <v>276</v>
      </c>
      <c r="B131" s="132" t="s">
        <v>198</v>
      </c>
      <c r="C131" s="132">
        <v>2007</v>
      </c>
      <c r="D131" s="132" t="s">
        <v>12</v>
      </c>
      <c r="E131" s="132">
        <v>2010</v>
      </c>
      <c r="F131" s="132" t="s">
        <v>14</v>
      </c>
      <c r="G131" s="133">
        <f t="shared" si="9"/>
        <v>6101.3632653061222</v>
      </c>
      <c r="H131" s="142" t="s">
        <v>181</v>
      </c>
      <c r="I131" s="140">
        <v>147</v>
      </c>
      <c r="J131" s="140">
        <v>4.84</v>
      </c>
      <c r="K131" s="141">
        <f>185310*J131</f>
        <v>896900.4</v>
      </c>
      <c r="L131" s="125">
        <v>289</v>
      </c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s="96" customFormat="1" ht="34.5" customHeight="1" x14ac:dyDescent="0.2">
      <c r="A132" s="134">
        <v>277</v>
      </c>
      <c r="B132" s="132" t="s">
        <v>199</v>
      </c>
      <c r="C132" s="132">
        <v>2009</v>
      </c>
      <c r="D132" s="132" t="s">
        <v>12</v>
      </c>
      <c r="E132" s="132">
        <v>2010</v>
      </c>
      <c r="F132" s="132" t="s">
        <v>14</v>
      </c>
      <c r="G132" s="133">
        <f t="shared" si="9"/>
        <v>6815.8394557823131</v>
      </c>
      <c r="H132" s="142" t="s">
        <v>200</v>
      </c>
      <c r="I132" s="140">
        <v>147</v>
      </c>
      <c r="J132" s="140">
        <v>4.84</v>
      </c>
      <c r="K132" s="141">
        <f>207010*J132</f>
        <v>1001928.4</v>
      </c>
      <c r="L132" s="125">
        <v>290</v>
      </c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s="96" customFormat="1" ht="44.25" customHeight="1" x14ac:dyDescent="0.2">
      <c r="A133" s="134">
        <v>278</v>
      </c>
      <c r="B133" s="132" t="s">
        <v>201</v>
      </c>
      <c r="C133" s="132"/>
      <c r="D133" s="132" t="s">
        <v>12</v>
      </c>
      <c r="E133" s="132">
        <v>2010</v>
      </c>
      <c r="F133" s="132" t="s">
        <v>14</v>
      </c>
      <c r="G133" s="133">
        <f t="shared" si="9"/>
        <v>8055.1428571428569</v>
      </c>
      <c r="H133" s="142" t="s">
        <v>202</v>
      </c>
      <c r="I133" s="140">
        <v>147</v>
      </c>
      <c r="J133" s="140">
        <v>4.84</v>
      </c>
      <c r="K133" s="141">
        <f>244650*J133</f>
        <v>1184106</v>
      </c>
      <c r="L133" s="125">
        <v>291</v>
      </c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s="96" customFormat="1" ht="45" customHeight="1" x14ac:dyDescent="0.2">
      <c r="A134" s="134">
        <v>279</v>
      </c>
      <c r="B134" s="132" t="s">
        <v>203</v>
      </c>
      <c r="C134" s="132">
        <v>2009</v>
      </c>
      <c r="D134" s="132" t="s">
        <v>12</v>
      </c>
      <c r="E134" s="132">
        <v>2010</v>
      </c>
      <c r="F134" s="132" t="s">
        <v>14</v>
      </c>
      <c r="G134" s="133">
        <f t="shared" si="9"/>
        <v>6223.1863945578234</v>
      </c>
      <c r="H134" s="142" t="s">
        <v>204</v>
      </c>
      <c r="I134" s="140">
        <v>147</v>
      </c>
      <c r="J134" s="140">
        <v>4.84</v>
      </c>
      <c r="K134" s="141">
        <f>189010*J134</f>
        <v>914808.4</v>
      </c>
      <c r="L134" s="125">
        <v>292</v>
      </c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s="96" customFormat="1" ht="40.5" customHeight="1" x14ac:dyDescent="0.2">
      <c r="A135" s="134">
        <v>280</v>
      </c>
      <c r="B135" s="132" t="s">
        <v>205</v>
      </c>
      <c r="C135" s="132">
        <v>1993</v>
      </c>
      <c r="D135" s="132" t="s">
        <v>12</v>
      </c>
      <c r="E135" s="132">
        <v>2010</v>
      </c>
      <c r="F135" s="132" t="s">
        <v>14</v>
      </c>
      <c r="G135" s="133">
        <f t="shared" si="9"/>
        <v>6114.8625850340131</v>
      </c>
      <c r="H135" s="142" t="s">
        <v>206</v>
      </c>
      <c r="I135" s="140">
        <v>147</v>
      </c>
      <c r="J135" s="140">
        <v>4.84</v>
      </c>
      <c r="K135" s="141">
        <f>185720*J135</f>
        <v>898884.79999999993</v>
      </c>
      <c r="L135" s="125">
        <v>293</v>
      </c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s="96" customFormat="1" ht="43.5" customHeight="1" x14ac:dyDescent="0.2">
      <c r="A136" s="134">
        <v>281</v>
      </c>
      <c r="B136" s="132" t="s">
        <v>207</v>
      </c>
      <c r="C136" s="132">
        <v>2010</v>
      </c>
      <c r="D136" s="132" t="s">
        <v>12</v>
      </c>
      <c r="E136" s="132">
        <v>2010</v>
      </c>
      <c r="F136" s="132" t="s">
        <v>14</v>
      </c>
      <c r="G136" s="133">
        <f t="shared" si="9"/>
        <v>8703.7687074829937</v>
      </c>
      <c r="H136" s="142" t="s">
        <v>208</v>
      </c>
      <c r="I136" s="140">
        <v>147</v>
      </c>
      <c r="J136" s="140">
        <v>4.84</v>
      </c>
      <c r="K136" s="141">
        <f>264350*J136</f>
        <v>1279454</v>
      </c>
      <c r="L136" s="125">
        <v>294</v>
      </c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s="96" customFormat="1" ht="33.75" x14ac:dyDescent="0.2">
      <c r="A137" s="134">
        <v>282</v>
      </c>
      <c r="B137" s="132" t="s">
        <v>209</v>
      </c>
      <c r="C137" s="132">
        <v>2009</v>
      </c>
      <c r="D137" s="132" t="s">
        <v>12</v>
      </c>
      <c r="E137" s="132">
        <v>2010</v>
      </c>
      <c r="F137" s="132" t="s">
        <v>14</v>
      </c>
      <c r="G137" s="133">
        <f t="shared" si="9"/>
        <v>6548.8163265306121</v>
      </c>
      <c r="H137" s="142" t="s">
        <v>28</v>
      </c>
      <c r="I137" s="140">
        <v>147</v>
      </c>
      <c r="J137" s="140">
        <v>4.84</v>
      </c>
      <c r="K137" s="141">
        <f>198900*J137</f>
        <v>962676</v>
      </c>
      <c r="L137" s="125">
        <v>295</v>
      </c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s="96" customFormat="1" ht="36.75" customHeight="1" x14ac:dyDescent="0.2">
      <c r="A138" s="134">
        <v>283</v>
      </c>
      <c r="B138" s="132" t="s">
        <v>26</v>
      </c>
      <c r="C138" s="132">
        <v>2003</v>
      </c>
      <c r="D138" s="132" t="s">
        <v>210</v>
      </c>
      <c r="E138" s="132">
        <v>2010</v>
      </c>
      <c r="F138" s="132" t="s">
        <v>22</v>
      </c>
      <c r="G138" s="133">
        <v>5000</v>
      </c>
      <c r="H138" s="139"/>
      <c r="I138" s="140">
        <v>147</v>
      </c>
      <c r="J138" s="140"/>
      <c r="K138" s="141">
        <f t="shared" si="6"/>
        <v>735000</v>
      </c>
      <c r="L138" s="125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s="94" customFormat="1" ht="36" customHeight="1" x14ac:dyDescent="0.2">
      <c r="A139" s="134">
        <v>284</v>
      </c>
      <c r="B139" s="132" t="s">
        <v>211</v>
      </c>
      <c r="C139" s="132">
        <v>2010</v>
      </c>
      <c r="D139" s="132" t="s">
        <v>12</v>
      </c>
      <c r="E139" s="132">
        <v>2010</v>
      </c>
      <c r="F139" s="132" t="s">
        <v>22</v>
      </c>
      <c r="G139" s="133">
        <v>9500</v>
      </c>
      <c r="H139" s="139"/>
      <c r="I139" s="140">
        <v>147</v>
      </c>
      <c r="J139" s="140"/>
      <c r="K139" s="141">
        <f t="shared" si="6"/>
        <v>1396500</v>
      </c>
      <c r="L139" s="125">
        <v>296</v>
      </c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s="94" customFormat="1" ht="36" customHeight="1" x14ac:dyDescent="0.2">
      <c r="A140" s="134">
        <v>285</v>
      </c>
      <c r="B140" s="132" t="s">
        <v>212</v>
      </c>
      <c r="C140" s="132">
        <v>2010</v>
      </c>
      <c r="D140" s="132" t="s">
        <v>12</v>
      </c>
      <c r="E140" s="132">
        <v>2010</v>
      </c>
      <c r="F140" s="143" t="s">
        <v>22</v>
      </c>
      <c r="G140" s="147">
        <v>9500</v>
      </c>
      <c r="H140" s="148"/>
      <c r="I140" s="140">
        <v>147</v>
      </c>
      <c r="J140" s="140"/>
      <c r="K140" s="141">
        <f t="shared" si="6"/>
        <v>1396500</v>
      </c>
      <c r="L140" s="125">
        <v>297</v>
      </c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s="96" customFormat="1" ht="37.5" customHeight="1" x14ac:dyDescent="0.2">
      <c r="A141" s="149">
        <v>286</v>
      </c>
      <c r="B141" s="143" t="s">
        <v>213</v>
      </c>
      <c r="C141" s="143">
        <v>1991</v>
      </c>
      <c r="D141" s="143" t="s">
        <v>29</v>
      </c>
      <c r="E141" s="150">
        <v>2010</v>
      </c>
      <c r="F141" s="145" t="s">
        <v>22</v>
      </c>
      <c r="G141" s="151">
        <v>9500</v>
      </c>
      <c r="H141" s="140"/>
      <c r="I141" s="152">
        <v>147</v>
      </c>
      <c r="J141" s="152"/>
      <c r="K141" s="153">
        <f t="shared" si="6"/>
        <v>1396500</v>
      </c>
      <c r="L141" s="125">
        <v>298</v>
      </c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s="123" customFormat="1" ht="37.5" customHeight="1" x14ac:dyDescent="0.2">
      <c r="A142" s="154">
        <v>287</v>
      </c>
      <c r="B142" s="145" t="s">
        <v>258</v>
      </c>
      <c r="C142" s="145">
        <v>2009</v>
      </c>
      <c r="D142" s="143" t="s">
        <v>12</v>
      </c>
      <c r="E142" s="145">
        <v>2010</v>
      </c>
      <c r="F142" s="137" t="s">
        <v>14</v>
      </c>
      <c r="G142" s="155">
        <f>K142/I142</f>
        <v>5936.6938775510207</v>
      </c>
      <c r="H142" s="156" t="s">
        <v>259</v>
      </c>
      <c r="I142" s="140">
        <v>147</v>
      </c>
      <c r="J142" s="140">
        <v>5.4</v>
      </c>
      <c r="K142" s="141">
        <f>161610*J142</f>
        <v>872694</v>
      </c>
      <c r="L142" s="125">
        <v>299</v>
      </c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s="123" customFormat="1" ht="37.5" customHeight="1" x14ac:dyDescent="0.2">
      <c r="A143" s="157">
        <v>288</v>
      </c>
      <c r="B143" s="158" t="s">
        <v>238</v>
      </c>
      <c r="C143" s="158">
        <v>1995</v>
      </c>
      <c r="D143" s="145" t="s">
        <v>12</v>
      </c>
      <c r="E143" s="158">
        <v>2010</v>
      </c>
      <c r="F143" s="159" t="s">
        <v>14</v>
      </c>
      <c r="G143" s="160">
        <f>K143/I143</f>
        <v>1208.2789115646258</v>
      </c>
      <c r="H143" s="140" t="s">
        <v>239</v>
      </c>
      <c r="I143" s="161">
        <v>147</v>
      </c>
      <c r="J143" s="161">
        <v>4.82</v>
      </c>
      <c r="K143" s="162">
        <f>36850*J143</f>
        <v>177617</v>
      </c>
      <c r="L143" s="125">
        <v>300</v>
      </c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s="123" customFormat="1" ht="37.5" customHeight="1" x14ac:dyDescent="0.2">
      <c r="A144" s="154">
        <v>289</v>
      </c>
      <c r="B144" s="145" t="s">
        <v>260</v>
      </c>
      <c r="C144" s="145">
        <v>2007</v>
      </c>
      <c r="D144" s="145" t="s">
        <v>12</v>
      </c>
      <c r="E144" s="145">
        <v>2010</v>
      </c>
      <c r="F144" s="145" t="s">
        <v>14</v>
      </c>
      <c r="G144" s="151">
        <f>K144/I144</f>
        <v>6574.9047619047615</v>
      </c>
      <c r="H144" s="140" t="s">
        <v>261</v>
      </c>
      <c r="I144" s="140">
        <v>147</v>
      </c>
      <c r="J144" s="140">
        <v>5.59</v>
      </c>
      <c r="K144" s="141">
        <f>172900*J144</f>
        <v>966511</v>
      </c>
      <c r="L144" s="125">
        <v>301</v>
      </c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s="10" customFormat="1" ht="25.5" customHeight="1" x14ac:dyDescent="0.2">
      <c r="A145" s="119"/>
      <c r="B145" s="120" t="s">
        <v>214</v>
      </c>
      <c r="C145" s="121"/>
      <c r="D145" s="122"/>
      <c r="E145" s="122"/>
      <c r="F145" s="122"/>
      <c r="G145" s="114">
        <f>SUM(G25:G144)</f>
        <v>719142.25689795904</v>
      </c>
      <c r="H145" s="115" t="s">
        <v>16</v>
      </c>
      <c r="I145" s="116"/>
      <c r="J145" s="116"/>
      <c r="K145" s="117">
        <f>SUM(K25:K144)</f>
        <v>105713911.76400001</v>
      </c>
      <c r="L145" s="130"/>
      <c r="M145" s="126"/>
      <c r="N145" s="126"/>
      <c r="O145" s="126"/>
      <c r="P145" s="126"/>
      <c r="Q145" s="126"/>
      <c r="R145" s="126"/>
      <c r="S145" s="126"/>
      <c r="T145" s="126"/>
      <c r="U145" s="126"/>
    </row>
    <row r="146" spans="1:21" s="10" customFormat="1" ht="25.5" customHeight="1" x14ac:dyDescent="0.2">
      <c r="A146" s="58"/>
      <c r="B146" s="59" t="s">
        <v>17</v>
      </c>
      <c r="C146" s="59"/>
      <c r="D146" s="59"/>
      <c r="E146" s="59"/>
      <c r="F146" s="59"/>
      <c r="G146" s="60">
        <f>F6+F7+F8+F9</f>
        <v>1526116.2568979589</v>
      </c>
      <c r="H146" s="100" t="s">
        <v>16</v>
      </c>
      <c r="I146" s="102"/>
      <c r="J146" s="102"/>
      <c r="K146" s="102"/>
      <c r="L146" s="127"/>
      <c r="M146" s="126"/>
      <c r="N146" s="126"/>
      <c r="O146" s="126"/>
      <c r="P146" s="126"/>
      <c r="Q146" s="126"/>
      <c r="R146" s="126"/>
      <c r="S146" s="126"/>
      <c r="T146" s="126"/>
      <c r="U146" s="126"/>
    </row>
    <row r="147" spans="1:21" s="10" customFormat="1" ht="29.25" customHeight="1" x14ac:dyDescent="0.2">
      <c r="A147" s="69"/>
      <c r="B147" s="167" t="s">
        <v>215</v>
      </c>
      <c r="C147" s="168"/>
      <c r="D147" s="168"/>
      <c r="E147" s="168"/>
      <c r="F147" s="168"/>
      <c r="G147" s="168"/>
      <c r="H147" s="169"/>
      <c r="I147" s="99"/>
      <c r="J147" s="99"/>
      <c r="K147" s="99"/>
      <c r="L147" s="125"/>
      <c r="M147" s="126"/>
      <c r="N147" s="126"/>
      <c r="O147" s="126"/>
      <c r="P147" s="126"/>
      <c r="Q147" s="126"/>
      <c r="R147" s="126"/>
      <c r="S147" s="126"/>
      <c r="T147" s="126"/>
      <c r="U147" s="126"/>
    </row>
    <row r="148" spans="1:21" s="10" customFormat="1" ht="23.25" customHeight="1" x14ac:dyDescent="0.2">
      <c r="A148" s="40"/>
      <c r="B148" s="170" t="s">
        <v>216</v>
      </c>
      <c r="C148" s="170"/>
      <c r="D148" s="170"/>
      <c r="E148" s="170"/>
      <c r="F148" s="62"/>
      <c r="G148" s="41"/>
      <c r="H148" s="42"/>
      <c r="I148" s="41"/>
      <c r="J148" s="41"/>
      <c r="K148" s="41"/>
      <c r="L148" s="125"/>
      <c r="M148" s="126"/>
      <c r="N148" s="126"/>
      <c r="O148" s="126"/>
      <c r="P148" s="126"/>
      <c r="Q148" s="126"/>
      <c r="R148" s="126"/>
      <c r="S148" s="126"/>
      <c r="T148" s="126"/>
      <c r="U148" s="126"/>
    </row>
    <row r="149" spans="1:21" s="10" customFormat="1" ht="35.25" customHeight="1" x14ac:dyDescent="0.2">
      <c r="A149" s="43">
        <v>290</v>
      </c>
      <c r="B149" s="55" t="s">
        <v>217</v>
      </c>
      <c r="C149" s="49">
        <v>2008</v>
      </c>
      <c r="D149" s="43" t="s">
        <v>12</v>
      </c>
      <c r="E149" s="45">
        <v>2009</v>
      </c>
      <c r="F149" s="43" t="s">
        <v>14</v>
      </c>
      <c r="G149" s="46"/>
      <c r="H149" s="47"/>
      <c r="I149" s="21"/>
      <c r="J149" s="21"/>
      <c r="K149" s="21"/>
      <c r="L149" s="125">
        <v>302</v>
      </c>
      <c r="M149" s="126"/>
      <c r="N149" s="126"/>
      <c r="O149" s="126"/>
      <c r="P149" s="126"/>
      <c r="Q149" s="126"/>
      <c r="R149" s="126"/>
      <c r="S149" s="126"/>
      <c r="T149" s="126"/>
      <c r="U149" s="126"/>
    </row>
    <row r="150" spans="1:21" s="10" customFormat="1" ht="35.25" customHeight="1" x14ac:dyDescent="0.2">
      <c r="A150" s="70">
        <v>291</v>
      </c>
      <c r="B150" s="101" t="s">
        <v>218</v>
      </c>
      <c r="C150" s="71">
        <v>2008</v>
      </c>
      <c r="D150" s="43" t="s">
        <v>12</v>
      </c>
      <c r="E150" s="45">
        <v>2009</v>
      </c>
      <c r="F150" s="43" t="s">
        <v>14</v>
      </c>
      <c r="G150" s="46"/>
      <c r="H150" s="47"/>
      <c r="I150" s="21"/>
      <c r="J150" s="21"/>
      <c r="K150" s="21"/>
      <c r="L150" s="125">
        <v>303</v>
      </c>
      <c r="M150" s="126"/>
      <c r="N150" s="126"/>
      <c r="O150" s="126"/>
      <c r="P150" s="126"/>
      <c r="Q150" s="126"/>
      <c r="R150" s="126"/>
      <c r="S150" s="126"/>
      <c r="T150" s="126"/>
      <c r="U150" s="126"/>
    </row>
    <row r="151" spans="1:21" s="10" customFormat="1" ht="35.25" customHeight="1" x14ac:dyDescent="0.2">
      <c r="A151" s="43">
        <v>292</v>
      </c>
      <c r="B151" s="57" t="s">
        <v>219</v>
      </c>
      <c r="C151" s="49">
        <v>2007</v>
      </c>
      <c r="D151" s="43" t="s">
        <v>12</v>
      </c>
      <c r="E151" s="45">
        <v>2009</v>
      </c>
      <c r="F151" s="43" t="s">
        <v>14</v>
      </c>
      <c r="G151" s="46"/>
      <c r="H151" s="47"/>
      <c r="I151" s="21"/>
      <c r="J151" s="21"/>
      <c r="K151" s="21"/>
      <c r="L151" s="125">
        <v>304</v>
      </c>
      <c r="M151" s="126"/>
      <c r="N151" s="126"/>
      <c r="O151" s="126"/>
      <c r="P151" s="126"/>
      <c r="Q151" s="126"/>
      <c r="R151" s="126"/>
      <c r="S151" s="126"/>
      <c r="T151" s="126"/>
      <c r="U151" s="126"/>
    </row>
    <row r="152" spans="1:21" s="10" customFormat="1" ht="35.25" customHeight="1" x14ac:dyDescent="0.2">
      <c r="A152" s="70">
        <v>293</v>
      </c>
      <c r="B152" s="44" t="s">
        <v>220</v>
      </c>
      <c r="C152" s="49">
        <v>2007</v>
      </c>
      <c r="D152" s="43" t="s">
        <v>12</v>
      </c>
      <c r="E152" s="45">
        <v>2010</v>
      </c>
      <c r="F152" s="43" t="s">
        <v>14</v>
      </c>
      <c r="G152" s="46"/>
      <c r="H152" s="47"/>
      <c r="I152" s="21"/>
      <c r="J152" s="21"/>
      <c r="K152" s="21"/>
      <c r="L152" s="125">
        <v>305</v>
      </c>
      <c r="M152" s="126"/>
      <c r="N152" s="126"/>
      <c r="O152" s="126"/>
      <c r="P152" s="126"/>
      <c r="Q152" s="126"/>
      <c r="R152" s="126"/>
      <c r="S152" s="126"/>
      <c r="T152" s="126"/>
      <c r="U152" s="126"/>
    </row>
    <row r="153" spans="1:21" s="10" customFormat="1" ht="35.25" customHeight="1" x14ac:dyDescent="0.2">
      <c r="A153" s="43">
        <v>294</v>
      </c>
      <c r="B153" s="44" t="s">
        <v>221</v>
      </c>
      <c r="C153" s="49">
        <v>2007</v>
      </c>
      <c r="D153" s="43" t="s">
        <v>12</v>
      </c>
      <c r="E153" s="45">
        <v>2010</v>
      </c>
      <c r="F153" s="43" t="s">
        <v>14</v>
      </c>
      <c r="G153" s="46"/>
      <c r="H153" s="47"/>
      <c r="I153" s="21"/>
      <c r="J153" s="21"/>
      <c r="K153" s="21"/>
      <c r="L153" s="125">
        <v>306</v>
      </c>
      <c r="M153" s="126"/>
      <c r="N153" s="126"/>
      <c r="O153" s="126"/>
      <c r="P153" s="126"/>
      <c r="Q153" s="126"/>
      <c r="R153" s="126"/>
      <c r="S153" s="126"/>
      <c r="T153" s="126"/>
      <c r="U153" s="126"/>
    </row>
    <row r="154" spans="1:21" s="10" customFormat="1" ht="35.25" customHeight="1" x14ac:dyDescent="0.2">
      <c r="A154" s="70">
        <v>295</v>
      </c>
      <c r="B154" s="55" t="s">
        <v>222</v>
      </c>
      <c r="C154" s="72">
        <v>2009</v>
      </c>
      <c r="D154" s="67" t="s">
        <v>12</v>
      </c>
      <c r="E154" s="73">
        <v>2010</v>
      </c>
      <c r="F154" s="67" t="s">
        <v>14</v>
      </c>
      <c r="G154" s="74"/>
      <c r="H154" s="75"/>
      <c r="I154" s="21"/>
      <c r="J154" s="21"/>
      <c r="K154" s="21"/>
      <c r="L154" s="125">
        <v>307</v>
      </c>
      <c r="M154" s="126"/>
      <c r="N154" s="126"/>
      <c r="O154" s="126"/>
      <c r="P154" s="126"/>
      <c r="Q154" s="126"/>
      <c r="R154" s="126"/>
      <c r="S154" s="126"/>
      <c r="T154" s="126"/>
      <c r="U154" s="126"/>
    </row>
    <row r="155" spans="1:21" s="68" customFormat="1" ht="23.25" customHeight="1" x14ac:dyDescent="0.2">
      <c r="A155" s="76"/>
      <c r="B155" s="77" t="s">
        <v>223</v>
      </c>
      <c r="C155" s="77"/>
      <c r="D155" s="77"/>
      <c r="E155" s="77"/>
      <c r="F155" s="77"/>
      <c r="G155" s="78"/>
      <c r="H155" s="79"/>
      <c r="I155" s="103"/>
      <c r="J155" s="103"/>
      <c r="K155" s="103"/>
      <c r="L155" s="128"/>
      <c r="M155" s="129"/>
      <c r="N155" s="129"/>
      <c r="O155" s="129"/>
      <c r="P155" s="129"/>
      <c r="Q155" s="129"/>
      <c r="R155" s="129"/>
      <c r="S155" s="129"/>
      <c r="T155" s="129"/>
      <c r="U155" s="129"/>
    </row>
    <row r="156" spans="1:21" s="68" customFormat="1" ht="33.75" x14ac:dyDescent="0.2">
      <c r="A156" s="80">
        <v>296</v>
      </c>
      <c r="B156" s="80" t="s">
        <v>224</v>
      </c>
      <c r="C156" s="81">
        <v>2009</v>
      </c>
      <c r="D156" s="56" t="s">
        <v>12</v>
      </c>
      <c r="E156" s="81">
        <v>2010</v>
      </c>
      <c r="F156" s="56" t="s">
        <v>14</v>
      </c>
      <c r="G156" s="82"/>
      <c r="H156" s="83"/>
      <c r="I156" s="98"/>
      <c r="J156" s="98"/>
      <c r="K156" s="98"/>
      <c r="L156" s="128">
        <v>308</v>
      </c>
      <c r="M156" s="129"/>
      <c r="N156" s="129"/>
      <c r="O156" s="129"/>
      <c r="P156" s="129"/>
      <c r="Q156" s="129"/>
      <c r="R156" s="129"/>
      <c r="S156" s="129"/>
      <c r="T156" s="129"/>
      <c r="U156" s="129"/>
    </row>
    <row r="157" spans="1:21" s="10" customFormat="1" ht="23.25" customHeight="1" x14ac:dyDescent="0.2">
      <c r="A157" s="61"/>
      <c r="B157" s="62" t="s">
        <v>23</v>
      </c>
      <c r="C157" s="62"/>
      <c r="D157" s="62"/>
      <c r="E157" s="62"/>
      <c r="F157" s="62"/>
      <c r="G157" s="63"/>
      <c r="H157" s="64"/>
      <c r="I157" s="41"/>
      <c r="J157" s="41"/>
      <c r="K157" s="41"/>
      <c r="L157" s="125"/>
      <c r="M157" s="126"/>
      <c r="N157" s="126"/>
      <c r="O157" s="126"/>
      <c r="P157" s="126"/>
      <c r="Q157" s="126"/>
      <c r="R157" s="126"/>
      <c r="S157" s="126"/>
      <c r="T157" s="126"/>
      <c r="U157" s="126"/>
    </row>
    <row r="158" spans="1:21" s="5" customFormat="1" ht="33.75" x14ac:dyDescent="0.2">
      <c r="A158" s="56">
        <v>297</v>
      </c>
      <c r="B158" s="57" t="s">
        <v>225</v>
      </c>
      <c r="C158" s="56">
        <v>2010</v>
      </c>
      <c r="D158" s="56" t="s">
        <v>12</v>
      </c>
      <c r="E158" s="56">
        <v>2010</v>
      </c>
      <c r="F158" s="56" t="s">
        <v>22</v>
      </c>
      <c r="G158" s="84"/>
      <c r="H158" s="57"/>
      <c r="I158" s="97"/>
      <c r="J158" s="97"/>
      <c r="K158" s="97"/>
      <c r="L158" s="125">
        <v>309</v>
      </c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s="106" customFormat="1" ht="35.25" customHeight="1" x14ac:dyDescent="0.2">
      <c r="A159" s="134">
        <v>298</v>
      </c>
      <c r="B159" s="132" t="s">
        <v>226</v>
      </c>
      <c r="C159" s="132">
        <v>1996</v>
      </c>
      <c r="D159" s="132" t="s">
        <v>12</v>
      </c>
      <c r="E159" s="131">
        <v>2010</v>
      </c>
      <c r="F159" s="132" t="s">
        <v>14</v>
      </c>
      <c r="G159" s="133"/>
      <c r="H159" s="135"/>
      <c r="I159" s="136"/>
      <c r="J159" s="136"/>
      <c r="K159" s="136"/>
      <c r="L159" s="125">
        <v>310</v>
      </c>
      <c r="M159" s="126"/>
      <c r="N159" s="126"/>
      <c r="O159" s="126"/>
      <c r="P159" s="126"/>
      <c r="Q159" s="126"/>
      <c r="R159" s="126"/>
      <c r="S159" s="126"/>
      <c r="T159" s="126"/>
      <c r="U159" s="126"/>
    </row>
    <row r="160" spans="1:21" s="106" customFormat="1" ht="35.25" customHeight="1" x14ac:dyDescent="0.2">
      <c r="A160" s="137">
        <v>299</v>
      </c>
      <c r="B160" s="132" t="s">
        <v>227</v>
      </c>
      <c r="C160" s="132">
        <v>2008</v>
      </c>
      <c r="D160" s="132" t="s">
        <v>12</v>
      </c>
      <c r="E160" s="131">
        <v>2010</v>
      </c>
      <c r="F160" s="137" t="s">
        <v>14</v>
      </c>
      <c r="G160" s="133"/>
      <c r="H160" s="135"/>
      <c r="I160" s="136"/>
      <c r="J160" s="136"/>
      <c r="K160" s="136"/>
      <c r="L160" s="125">
        <v>311</v>
      </c>
      <c r="M160" s="126"/>
      <c r="N160" s="126"/>
      <c r="O160" s="126"/>
      <c r="P160" s="126"/>
      <c r="Q160" s="126"/>
      <c r="R160" s="126"/>
      <c r="S160" s="126"/>
      <c r="T160" s="126"/>
      <c r="U160" s="126"/>
    </row>
    <row r="161" spans="1:21" s="9" customFormat="1" ht="35.25" customHeight="1" x14ac:dyDescent="0.2">
      <c r="A161" s="52">
        <v>300</v>
      </c>
      <c r="B161" s="48" t="s">
        <v>228</v>
      </c>
      <c r="C161" s="48">
        <v>2010</v>
      </c>
      <c r="D161" s="48" t="s">
        <v>12</v>
      </c>
      <c r="E161" s="49">
        <v>2010</v>
      </c>
      <c r="F161" s="56" t="s">
        <v>22</v>
      </c>
      <c r="G161" s="50"/>
      <c r="H161" s="51"/>
      <c r="I161" s="95"/>
      <c r="J161" s="95"/>
      <c r="K161" s="95"/>
      <c r="L161" s="125">
        <v>312</v>
      </c>
      <c r="M161" s="126"/>
      <c r="N161" s="126"/>
      <c r="O161" s="126"/>
      <c r="P161" s="126"/>
      <c r="Q161" s="126"/>
      <c r="R161" s="126"/>
      <c r="S161" s="126"/>
      <c r="T161" s="126"/>
      <c r="U161" s="126"/>
    </row>
    <row r="162" spans="1:21" ht="23.25" customHeight="1" x14ac:dyDescent="0.2">
      <c r="A162" s="85"/>
      <c r="B162" s="86" t="s">
        <v>229</v>
      </c>
      <c r="C162" s="87"/>
      <c r="D162" s="87"/>
      <c r="E162" s="87"/>
      <c r="F162" s="88"/>
      <c r="G162" s="89"/>
      <c r="H162" s="90"/>
      <c r="I162" s="104"/>
      <c r="J162" s="104"/>
      <c r="K162" s="104"/>
      <c r="L162" s="125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ht="36.75" customHeight="1" x14ac:dyDescent="0.2">
      <c r="A163" s="53">
        <v>301</v>
      </c>
      <c r="B163" s="43" t="s">
        <v>230</v>
      </c>
      <c r="C163" s="43"/>
      <c r="D163" s="56" t="s">
        <v>12</v>
      </c>
      <c r="E163" s="43">
        <v>2010</v>
      </c>
      <c r="F163" s="54" t="s">
        <v>22</v>
      </c>
      <c r="G163" s="46"/>
      <c r="H163" s="47"/>
      <c r="I163" s="21"/>
      <c r="J163" s="21"/>
      <c r="K163" s="21"/>
      <c r="L163" s="125">
        <v>313</v>
      </c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x14ac:dyDescent="0.2">
      <c r="L164" s="125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1:21" x14ac:dyDescent="0.2">
      <c r="L165" s="125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x14ac:dyDescent="0.2">
      <c r="L166" s="125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x14ac:dyDescent="0.2">
      <c r="L167" s="125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1:21" x14ac:dyDescent="0.2">
      <c r="L168" s="125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x14ac:dyDescent="0.2">
      <c r="L169" s="125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x14ac:dyDescent="0.2">
      <c r="L170" s="125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x14ac:dyDescent="0.2">
      <c r="L171" s="125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x14ac:dyDescent="0.2">
      <c r="L172" s="125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x14ac:dyDescent="0.2">
      <c r="L173" s="125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x14ac:dyDescent="0.2">
      <c r="L174" s="125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21" x14ac:dyDescent="0.2">
      <c r="L175" s="125"/>
      <c r="M175" s="93"/>
      <c r="N175" s="93"/>
      <c r="O175" s="93"/>
      <c r="P175" s="93"/>
      <c r="Q175" s="93"/>
      <c r="R175" s="93"/>
      <c r="S175" s="93"/>
      <c r="T175" s="93"/>
      <c r="U175" s="93"/>
    </row>
    <row r="176" spans="1:21" x14ac:dyDescent="0.2">
      <c r="L176" s="125"/>
      <c r="M176" s="93"/>
      <c r="N176" s="93"/>
      <c r="O176" s="93"/>
      <c r="P176" s="93"/>
      <c r="Q176" s="93"/>
      <c r="R176" s="93"/>
      <c r="S176" s="93"/>
      <c r="T176" s="93"/>
      <c r="U176" s="93"/>
    </row>
    <row r="177" spans="12:21" x14ac:dyDescent="0.2">
      <c r="L177" s="125"/>
      <c r="M177" s="93"/>
      <c r="N177" s="93"/>
      <c r="O177" s="93"/>
      <c r="P177" s="93"/>
      <c r="Q177" s="93"/>
      <c r="R177" s="93"/>
      <c r="S177" s="93"/>
      <c r="T177" s="93"/>
      <c r="U177" s="93"/>
    </row>
    <row r="178" spans="12:21" x14ac:dyDescent="0.2">
      <c r="L178" s="125"/>
      <c r="M178" s="93"/>
      <c r="N178" s="93"/>
      <c r="O178" s="93"/>
      <c r="P178" s="93"/>
      <c r="Q178" s="93"/>
      <c r="R178" s="93"/>
      <c r="S178" s="93"/>
      <c r="T178" s="93"/>
      <c r="U178" s="93"/>
    </row>
    <row r="179" spans="12:21" x14ac:dyDescent="0.2">
      <c r="L179" s="125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12:21" x14ac:dyDescent="0.2">
      <c r="L180" s="125"/>
      <c r="M180" s="93"/>
      <c r="N180" s="93"/>
      <c r="O180" s="93"/>
      <c r="P180" s="93"/>
      <c r="Q180" s="93"/>
      <c r="R180" s="93"/>
      <c r="S180" s="93"/>
      <c r="T180" s="93"/>
      <c r="U180" s="93"/>
    </row>
    <row r="181" spans="12:21" x14ac:dyDescent="0.2">
      <c r="L181" s="125"/>
      <c r="M181" s="93"/>
      <c r="N181" s="93"/>
      <c r="O181" s="93"/>
      <c r="P181" s="93"/>
      <c r="Q181" s="93"/>
      <c r="R181" s="93"/>
      <c r="S181" s="93"/>
      <c r="T181" s="93"/>
      <c r="U181" s="93"/>
    </row>
    <row r="182" spans="12:21" x14ac:dyDescent="0.2">
      <c r="L182" s="125"/>
      <c r="M182" s="93"/>
      <c r="N182" s="93"/>
      <c r="O182" s="93"/>
      <c r="P182" s="93"/>
      <c r="Q182" s="93"/>
      <c r="R182" s="93"/>
      <c r="S182" s="93"/>
      <c r="T182" s="93"/>
      <c r="U182" s="93"/>
    </row>
    <row r="183" spans="12:21" x14ac:dyDescent="0.2">
      <c r="L183" s="125"/>
      <c r="M183" s="93"/>
      <c r="N183" s="93"/>
      <c r="O183" s="93"/>
      <c r="P183" s="93"/>
      <c r="Q183" s="93"/>
      <c r="R183" s="93"/>
      <c r="S183" s="93"/>
      <c r="T183" s="93"/>
      <c r="U183" s="93"/>
    </row>
    <row r="184" spans="12:21" x14ac:dyDescent="0.2">
      <c r="L184" s="125"/>
      <c r="M184" s="93"/>
      <c r="N184" s="93"/>
      <c r="O184" s="93"/>
      <c r="P184" s="93"/>
      <c r="Q184" s="93"/>
      <c r="R184" s="93"/>
      <c r="S184" s="93"/>
      <c r="T184" s="93"/>
      <c r="U184" s="93"/>
    </row>
    <row r="185" spans="12:21" x14ac:dyDescent="0.2">
      <c r="L185" s="125"/>
      <c r="M185" s="93"/>
      <c r="N185" s="93"/>
      <c r="O185" s="93"/>
      <c r="P185" s="93"/>
      <c r="Q185" s="93"/>
      <c r="R185" s="93"/>
      <c r="S185" s="93"/>
      <c r="T185" s="93"/>
      <c r="U185" s="93"/>
    </row>
    <row r="186" spans="12:21" x14ac:dyDescent="0.2">
      <c r="L186" s="125"/>
      <c r="M186" s="93"/>
      <c r="N186" s="93"/>
      <c r="O186" s="93"/>
      <c r="P186" s="93"/>
      <c r="Q186" s="93"/>
      <c r="R186" s="93"/>
      <c r="S186" s="93"/>
      <c r="T186" s="93"/>
      <c r="U186" s="93"/>
    </row>
    <row r="187" spans="12:21" x14ac:dyDescent="0.2">
      <c r="L187" s="125"/>
      <c r="M187" s="93"/>
      <c r="N187" s="93"/>
      <c r="O187" s="93"/>
      <c r="P187" s="93"/>
      <c r="Q187" s="93"/>
      <c r="R187" s="93"/>
      <c r="S187" s="93"/>
      <c r="T187" s="93"/>
      <c r="U187" s="93"/>
    </row>
    <row r="188" spans="12:21" x14ac:dyDescent="0.2">
      <c r="L188" s="125"/>
      <c r="M188" s="93"/>
      <c r="N188" s="93"/>
      <c r="O188" s="93"/>
      <c r="P188" s="93"/>
      <c r="Q188" s="93"/>
      <c r="R188" s="93"/>
      <c r="S188" s="93"/>
      <c r="T188" s="93"/>
      <c r="U188" s="93"/>
    </row>
    <row r="189" spans="12:21" x14ac:dyDescent="0.2">
      <c r="L189" s="125"/>
      <c r="M189" s="93"/>
      <c r="N189" s="93"/>
      <c r="O189" s="93"/>
      <c r="P189" s="93"/>
      <c r="Q189" s="93"/>
      <c r="R189" s="93"/>
      <c r="S189" s="93"/>
      <c r="T189" s="93"/>
      <c r="U189" s="93"/>
    </row>
    <row r="190" spans="12:21" x14ac:dyDescent="0.2">
      <c r="L190" s="125"/>
      <c r="M190" s="93"/>
      <c r="N190" s="93"/>
      <c r="O190" s="93"/>
      <c r="P190" s="93"/>
      <c r="Q190" s="93"/>
      <c r="R190" s="93"/>
      <c r="S190" s="93"/>
      <c r="T190" s="93"/>
      <c r="U190" s="93"/>
    </row>
    <row r="191" spans="12:21" x14ac:dyDescent="0.2">
      <c r="L191" s="125"/>
      <c r="M191" s="93"/>
      <c r="N191" s="93"/>
      <c r="O191" s="93"/>
      <c r="P191" s="93"/>
      <c r="Q191" s="93"/>
      <c r="R191" s="93"/>
      <c r="S191" s="93"/>
      <c r="T191" s="93"/>
      <c r="U191" s="93"/>
    </row>
    <row r="192" spans="12:21" x14ac:dyDescent="0.2">
      <c r="L192" s="125"/>
      <c r="M192" s="93"/>
      <c r="N192" s="93"/>
      <c r="O192" s="93"/>
      <c r="P192" s="93"/>
      <c r="Q192" s="93"/>
      <c r="R192" s="93"/>
      <c r="S192" s="93"/>
      <c r="T192" s="93"/>
      <c r="U192" s="93"/>
    </row>
    <row r="193" spans="12:21" x14ac:dyDescent="0.2">
      <c r="L193" s="125"/>
      <c r="M193" s="93"/>
      <c r="N193" s="93"/>
      <c r="O193" s="93"/>
      <c r="P193" s="93"/>
      <c r="Q193" s="93"/>
      <c r="R193" s="93"/>
      <c r="S193" s="93"/>
      <c r="T193" s="93"/>
      <c r="U193" s="93"/>
    </row>
    <row r="194" spans="12:21" x14ac:dyDescent="0.2">
      <c r="L194" s="125"/>
      <c r="M194" s="93"/>
      <c r="N194" s="93"/>
      <c r="O194" s="93"/>
      <c r="P194" s="93"/>
      <c r="Q194" s="93"/>
      <c r="R194" s="93"/>
      <c r="S194" s="93"/>
      <c r="T194" s="93"/>
      <c r="U194" s="93"/>
    </row>
    <row r="195" spans="12:21" x14ac:dyDescent="0.2">
      <c r="L195" s="125"/>
      <c r="M195" s="93"/>
      <c r="N195" s="93"/>
      <c r="O195" s="93"/>
      <c r="P195" s="93"/>
      <c r="Q195" s="93"/>
      <c r="R195" s="93"/>
      <c r="S195" s="93"/>
      <c r="T195" s="93"/>
      <c r="U195" s="93"/>
    </row>
    <row r="196" spans="12:21" x14ac:dyDescent="0.2">
      <c r="L196" s="125"/>
      <c r="M196" s="93"/>
      <c r="N196" s="93"/>
      <c r="O196" s="93"/>
      <c r="P196" s="93"/>
      <c r="Q196" s="93"/>
      <c r="R196" s="93"/>
      <c r="S196" s="93"/>
      <c r="T196" s="93"/>
      <c r="U196" s="93"/>
    </row>
    <row r="197" spans="12:21" x14ac:dyDescent="0.2">
      <c r="L197" s="125"/>
      <c r="M197" s="93"/>
      <c r="N197" s="93"/>
      <c r="O197" s="93"/>
      <c r="P197" s="93"/>
      <c r="Q197" s="93"/>
      <c r="R197" s="93"/>
      <c r="S197" s="93"/>
      <c r="T197" s="93"/>
      <c r="U197" s="93"/>
    </row>
    <row r="198" spans="12:21" x14ac:dyDescent="0.2">
      <c r="L198" s="125"/>
      <c r="M198" s="93"/>
      <c r="N198" s="93"/>
      <c r="O198" s="93"/>
      <c r="P198" s="93"/>
      <c r="Q198" s="93"/>
      <c r="R198" s="93"/>
      <c r="S198" s="93"/>
      <c r="T198" s="93"/>
      <c r="U198" s="93"/>
    </row>
    <row r="199" spans="12:21" x14ac:dyDescent="0.2">
      <c r="L199" s="125"/>
      <c r="M199" s="93"/>
      <c r="N199" s="93"/>
      <c r="O199" s="93"/>
      <c r="P199" s="93"/>
      <c r="Q199" s="93"/>
      <c r="R199" s="93"/>
      <c r="S199" s="93"/>
      <c r="T199" s="93"/>
      <c r="U199" s="93"/>
    </row>
    <row r="200" spans="12:21" x14ac:dyDescent="0.2">
      <c r="L200" s="125"/>
      <c r="M200" s="93"/>
      <c r="N200" s="93"/>
      <c r="O200" s="93"/>
      <c r="P200" s="93"/>
      <c r="Q200" s="93"/>
      <c r="R200" s="93"/>
      <c r="S200" s="93"/>
      <c r="T200" s="93"/>
      <c r="U200" s="93"/>
    </row>
    <row r="201" spans="12:21" x14ac:dyDescent="0.2">
      <c r="L201" s="125"/>
      <c r="M201" s="93"/>
      <c r="N201" s="93"/>
      <c r="O201" s="93"/>
      <c r="P201" s="93"/>
      <c r="Q201" s="93"/>
      <c r="R201" s="93"/>
      <c r="S201" s="93"/>
      <c r="T201" s="93"/>
      <c r="U201" s="93"/>
    </row>
    <row r="202" spans="12:21" x14ac:dyDescent="0.2">
      <c r="L202" s="125"/>
      <c r="M202" s="93"/>
      <c r="N202" s="93"/>
      <c r="O202" s="93"/>
      <c r="P202" s="93"/>
      <c r="Q202" s="93"/>
      <c r="R202" s="93"/>
      <c r="S202" s="93"/>
      <c r="T202" s="93"/>
      <c r="U202" s="93"/>
    </row>
    <row r="203" spans="12:21" x14ac:dyDescent="0.2">
      <c r="L203" s="125"/>
      <c r="M203" s="93"/>
      <c r="N203" s="93"/>
      <c r="O203" s="93"/>
      <c r="P203" s="93"/>
      <c r="Q203" s="93"/>
      <c r="R203" s="93"/>
      <c r="S203" s="93"/>
      <c r="T203" s="93"/>
      <c r="U203" s="93"/>
    </row>
    <row r="204" spans="12:21" x14ac:dyDescent="0.2">
      <c r="L204" s="125"/>
      <c r="M204" s="93"/>
      <c r="N204" s="93"/>
      <c r="O204" s="93"/>
      <c r="P204" s="93"/>
      <c r="Q204" s="93"/>
      <c r="R204" s="93"/>
      <c r="S204" s="93"/>
      <c r="T204" s="93"/>
      <c r="U204" s="93"/>
    </row>
    <row r="205" spans="12:21" x14ac:dyDescent="0.2">
      <c r="L205" s="125"/>
      <c r="M205" s="93"/>
      <c r="N205" s="93"/>
      <c r="O205" s="93"/>
      <c r="P205" s="93"/>
      <c r="Q205" s="93"/>
      <c r="R205" s="93"/>
      <c r="S205" s="93"/>
      <c r="T205" s="93"/>
      <c r="U205" s="93"/>
    </row>
    <row r="206" spans="12:21" x14ac:dyDescent="0.2">
      <c r="L206" s="125"/>
      <c r="M206" s="93"/>
      <c r="N206" s="93"/>
      <c r="O206" s="93"/>
      <c r="P206" s="93"/>
      <c r="Q206" s="93"/>
      <c r="R206" s="93"/>
      <c r="S206" s="93"/>
      <c r="T206" s="93"/>
      <c r="U206" s="93"/>
    </row>
    <row r="207" spans="12:21" x14ac:dyDescent="0.2">
      <c r="L207" s="125"/>
      <c r="M207" s="93"/>
      <c r="N207" s="93"/>
      <c r="O207" s="93"/>
      <c r="P207" s="93"/>
      <c r="Q207" s="93"/>
      <c r="R207" s="93"/>
      <c r="S207" s="93"/>
      <c r="T207" s="93"/>
      <c r="U207" s="93"/>
    </row>
    <row r="208" spans="12:21" x14ac:dyDescent="0.2">
      <c r="L208" s="125"/>
      <c r="M208" s="93"/>
      <c r="N208" s="93"/>
      <c r="O208" s="93"/>
      <c r="P208" s="93"/>
      <c r="Q208" s="93"/>
      <c r="R208" s="93"/>
      <c r="S208" s="93"/>
      <c r="T208" s="93"/>
      <c r="U208" s="93"/>
    </row>
    <row r="209" spans="12:21" x14ac:dyDescent="0.2">
      <c r="L209" s="125"/>
      <c r="M209" s="93"/>
      <c r="N209" s="93"/>
      <c r="O209" s="93"/>
      <c r="P209" s="93"/>
      <c r="Q209" s="93"/>
      <c r="R209" s="93"/>
      <c r="S209" s="93"/>
      <c r="T209" s="93"/>
      <c r="U209" s="93"/>
    </row>
    <row r="210" spans="12:21" x14ac:dyDescent="0.2">
      <c r="L210" s="125"/>
      <c r="M210" s="93"/>
      <c r="N210" s="93"/>
      <c r="O210" s="93"/>
      <c r="P210" s="93"/>
      <c r="Q210" s="93"/>
      <c r="R210" s="93"/>
      <c r="S210" s="93"/>
      <c r="T210" s="93"/>
      <c r="U210" s="93"/>
    </row>
    <row r="211" spans="12:21" x14ac:dyDescent="0.2">
      <c r="L211" s="125"/>
      <c r="M211" s="93"/>
      <c r="N211" s="93"/>
      <c r="O211" s="93"/>
      <c r="P211" s="93"/>
      <c r="Q211" s="93"/>
      <c r="R211" s="93"/>
      <c r="S211" s="93"/>
      <c r="T211" s="93"/>
      <c r="U211" s="93"/>
    </row>
    <row r="212" spans="12:21" x14ac:dyDescent="0.2">
      <c r="L212" s="125"/>
      <c r="M212" s="93"/>
      <c r="N212" s="93"/>
      <c r="O212" s="93"/>
      <c r="P212" s="93"/>
      <c r="Q212" s="93"/>
      <c r="R212" s="93"/>
      <c r="S212" s="93"/>
      <c r="T212" s="93"/>
      <c r="U212" s="93"/>
    </row>
    <row r="213" spans="12:21" x14ac:dyDescent="0.2">
      <c r="L213" s="125"/>
      <c r="M213" s="93"/>
      <c r="N213" s="93"/>
      <c r="O213" s="93"/>
      <c r="P213" s="93"/>
      <c r="Q213" s="93"/>
      <c r="R213" s="93"/>
      <c r="S213" s="93"/>
      <c r="T213" s="93"/>
      <c r="U213" s="93"/>
    </row>
    <row r="214" spans="12:21" x14ac:dyDescent="0.2">
      <c r="L214" s="125"/>
      <c r="M214" s="93"/>
      <c r="N214" s="93"/>
      <c r="O214" s="93"/>
      <c r="P214" s="93"/>
      <c r="Q214" s="93"/>
      <c r="R214" s="93"/>
      <c r="S214" s="93"/>
      <c r="T214" s="93"/>
      <c r="U214" s="93"/>
    </row>
    <row r="215" spans="12:21" x14ac:dyDescent="0.2">
      <c r="L215" s="125"/>
      <c r="M215" s="93"/>
      <c r="N215" s="93"/>
      <c r="O215" s="93"/>
      <c r="P215" s="93"/>
      <c r="Q215" s="93"/>
      <c r="R215" s="93"/>
      <c r="S215" s="93"/>
      <c r="T215" s="93"/>
      <c r="U215" s="93"/>
    </row>
    <row r="216" spans="12:21" x14ac:dyDescent="0.2">
      <c r="L216" s="125"/>
      <c r="M216" s="93"/>
      <c r="N216" s="93"/>
      <c r="O216" s="93"/>
      <c r="P216" s="93"/>
      <c r="Q216" s="93"/>
      <c r="R216" s="93"/>
      <c r="S216" s="93"/>
      <c r="T216" s="93"/>
      <c r="U216" s="93"/>
    </row>
    <row r="217" spans="12:21" x14ac:dyDescent="0.2">
      <c r="L217" s="125"/>
      <c r="M217" s="93"/>
      <c r="N217" s="93"/>
      <c r="O217" s="93"/>
      <c r="P217" s="93"/>
      <c r="Q217" s="93"/>
      <c r="R217" s="93"/>
      <c r="S217" s="93"/>
      <c r="T217" s="93"/>
      <c r="U217" s="93"/>
    </row>
    <row r="218" spans="12:21" x14ac:dyDescent="0.2">
      <c r="L218" s="125"/>
      <c r="M218" s="93"/>
      <c r="N218" s="93"/>
      <c r="O218" s="93"/>
      <c r="P218" s="93"/>
      <c r="Q218" s="93"/>
      <c r="R218" s="93"/>
      <c r="S218" s="93"/>
      <c r="T218" s="93"/>
      <c r="U218" s="93"/>
    </row>
    <row r="219" spans="12:21" x14ac:dyDescent="0.2">
      <c r="L219" s="125"/>
      <c r="M219" s="93"/>
      <c r="N219" s="93"/>
      <c r="O219" s="93"/>
      <c r="P219" s="93"/>
      <c r="Q219" s="93"/>
      <c r="R219" s="93"/>
      <c r="S219" s="93"/>
      <c r="T219" s="93"/>
      <c r="U219" s="93"/>
    </row>
    <row r="220" spans="12:21" x14ac:dyDescent="0.2">
      <c r="L220" s="125"/>
      <c r="M220" s="93"/>
      <c r="N220" s="93"/>
      <c r="O220" s="93"/>
      <c r="P220" s="93"/>
      <c r="Q220" s="93"/>
      <c r="R220" s="93"/>
      <c r="S220" s="93"/>
      <c r="T220" s="93"/>
      <c r="U220" s="93"/>
    </row>
    <row r="221" spans="12:21" x14ac:dyDescent="0.2">
      <c r="L221" s="125"/>
      <c r="M221" s="93"/>
      <c r="N221" s="93"/>
      <c r="O221" s="93"/>
      <c r="P221" s="93"/>
      <c r="Q221" s="93"/>
      <c r="R221" s="93"/>
      <c r="S221" s="93"/>
      <c r="T221" s="93"/>
      <c r="U221" s="93"/>
    </row>
    <row r="222" spans="12:21" x14ac:dyDescent="0.2">
      <c r="L222" s="125"/>
      <c r="M222" s="93"/>
      <c r="N222" s="93"/>
      <c r="O222" s="93"/>
      <c r="P222" s="93"/>
      <c r="Q222" s="93"/>
      <c r="R222" s="93"/>
      <c r="S222" s="93"/>
      <c r="T222" s="93"/>
      <c r="U222" s="93"/>
    </row>
    <row r="223" spans="12:21" x14ac:dyDescent="0.2">
      <c r="L223" s="125"/>
      <c r="M223" s="93"/>
      <c r="N223" s="93"/>
      <c r="O223" s="93"/>
      <c r="P223" s="93"/>
      <c r="Q223" s="93"/>
      <c r="R223" s="93"/>
      <c r="S223" s="93"/>
      <c r="T223" s="93"/>
      <c r="U223" s="93"/>
    </row>
    <row r="224" spans="12:21" x14ac:dyDescent="0.2">
      <c r="L224" s="125"/>
      <c r="M224" s="93"/>
      <c r="N224" s="93"/>
      <c r="O224" s="93"/>
      <c r="P224" s="93"/>
      <c r="Q224" s="93"/>
      <c r="R224" s="93"/>
      <c r="S224" s="93"/>
      <c r="T224" s="93"/>
      <c r="U224" s="93"/>
    </row>
    <row r="225" spans="12:21" x14ac:dyDescent="0.2">
      <c r="L225" s="125"/>
      <c r="M225" s="93"/>
      <c r="N225" s="93"/>
      <c r="O225" s="93"/>
      <c r="P225" s="93"/>
      <c r="Q225" s="93"/>
      <c r="R225" s="93"/>
      <c r="S225" s="93"/>
      <c r="T225" s="93"/>
      <c r="U225" s="93"/>
    </row>
    <row r="226" spans="12:21" x14ac:dyDescent="0.2">
      <c r="L226" s="125"/>
      <c r="M226" s="93"/>
      <c r="N226" s="93"/>
      <c r="O226" s="93"/>
      <c r="P226" s="93"/>
      <c r="Q226" s="93"/>
      <c r="R226" s="93"/>
      <c r="S226" s="93"/>
      <c r="T226" s="93"/>
      <c r="U226" s="93"/>
    </row>
    <row r="227" spans="12:21" x14ac:dyDescent="0.2">
      <c r="L227" s="125"/>
      <c r="M227" s="93"/>
      <c r="N227" s="93"/>
      <c r="O227" s="93"/>
      <c r="P227" s="93"/>
      <c r="Q227" s="93"/>
      <c r="R227" s="93"/>
      <c r="S227" s="93"/>
      <c r="T227" s="93"/>
      <c r="U227" s="93"/>
    </row>
    <row r="228" spans="12:21" x14ac:dyDescent="0.2">
      <c r="L228" s="125"/>
      <c r="M228" s="93"/>
      <c r="N228" s="93"/>
      <c r="O228" s="93"/>
      <c r="P228" s="93"/>
      <c r="Q228" s="93"/>
      <c r="R228" s="93"/>
      <c r="S228" s="93"/>
      <c r="T228" s="93"/>
      <c r="U228" s="93"/>
    </row>
    <row r="229" spans="12:21" x14ac:dyDescent="0.2">
      <c r="L229" s="125"/>
      <c r="M229" s="93"/>
      <c r="N229" s="93"/>
      <c r="O229" s="93"/>
      <c r="P229" s="93"/>
      <c r="Q229" s="93"/>
      <c r="R229" s="93"/>
      <c r="S229" s="93"/>
      <c r="T229" s="93"/>
      <c r="U229" s="93"/>
    </row>
    <row r="230" spans="12:21" x14ac:dyDescent="0.2">
      <c r="L230" s="125"/>
      <c r="M230" s="93"/>
      <c r="N230" s="93"/>
      <c r="O230" s="93"/>
      <c r="P230" s="93"/>
      <c r="Q230" s="93"/>
      <c r="R230" s="93"/>
      <c r="S230" s="93"/>
      <c r="T230" s="93"/>
      <c r="U230" s="93"/>
    </row>
    <row r="231" spans="12:21" x14ac:dyDescent="0.2">
      <c r="L231" s="125"/>
      <c r="M231" s="93"/>
      <c r="N231" s="93"/>
      <c r="O231" s="93"/>
      <c r="P231" s="93"/>
      <c r="Q231" s="93"/>
      <c r="R231" s="93"/>
      <c r="S231" s="93"/>
      <c r="T231" s="93"/>
      <c r="U231" s="93"/>
    </row>
    <row r="232" spans="12:21" x14ac:dyDescent="0.2">
      <c r="L232" s="125"/>
      <c r="M232" s="93"/>
      <c r="N232" s="93"/>
      <c r="O232" s="93"/>
      <c r="P232" s="93"/>
      <c r="Q232" s="93"/>
      <c r="R232" s="93"/>
      <c r="S232" s="93"/>
      <c r="T232" s="93"/>
      <c r="U232" s="93"/>
    </row>
    <row r="233" spans="12:21" x14ac:dyDescent="0.2">
      <c r="L233" s="125"/>
      <c r="M233" s="93"/>
      <c r="N233" s="93"/>
      <c r="O233" s="93"/>
      <c r="P233" s="93"/>
      <c r="Q233" s="93"/>
      <c r="R233" s="93"/>
      <c r="S233" s="93"/>
      <c r="T233" s="93"/>
      <c r="U233" s="93"/>
    </row>
    <row r="234" spans="12:21" x14ac:dyDescent="0.2">
      <c r="L234" s="125"/>
      <c r="M234" s="93"/>
      <c r="N234" s="93"/>
      <c r="O234" s="93"/>
      <c r="P234" s="93"/>
      <c r="Q234" s="93"/>
      <c r="R234" s="93"/>
      <c r="S234" s="93"/>
      <c r="T234" s="93"/>
      <c r="U234" s="93"/>
    </row>
    <row r="235" spans="12:21" x14ac:dyDescent="0.2">
      <c r="L235" s="125"/>
      <c r="M235" s="93"/>
      <c r="N235" s="93"/>
      <c r="O235" s="93"/>
      <c r="P235" s="93"/>
      <c r="Q235" s="93"/>
      <c r="R235" s="93"/>
      <c r="S235" s="93"/>
      <c r="T235" s="93"/>
      <c r="U235" s="93"/>
    </row>
    <row r="236" spans="12:21" x14ac:dyDescent="0.2">
      <c r="L236" s="125"/>
      <c r="M236" s="93"/>
      <c r="N236" s="93"/>
      <c r="O236" s="93"/>
      <c r="P236" s="93"/>
      <c r="Q236" s="93"/>
      <c r="R236" s="93"/>
      <c r="S236" s="93"/>
      <c r="T236" s="93"/>
      <c r="U236" s="93"/>
    </row>
    <row r="237" spans="12:21" x14ac:dyDescent="0.2">
      <c r="L237" s="125"/>
      <c r="M237" s="93"/>
      <c r="N237" s="93"/>
      <c r="O237" s="93"/>
      <c r="P237" s="93"/>
      <c r="Q237" s="93"/>
      <c r="R237" s="93"/>
      <c r="S237" s="93"/>
      <c r="T237" s="93"/>
      <c r="U237" s="93"/>
    </row>
    <row r="238" spans="12:21" x14ac:dyDescent="0.2">
      <c r="L238" s="125"/>
      <c r="M238" s="93"/>
      <c r="N238" s="93"/>
      <c r="O238" s="93"/>
      <c r="P238" s="93"/>
      <c r="Q238" s="93"/>
      <c r="R238" s="93"/>
      <c r="S238" s="93"/>
      <c r="T238" s="93"/>
      <c r="U238" s="93"/>
    </row>
    <row r="239" spans="12:21" x14ac:dyDescent="0.2">
      <c r="L239" s="125"/>
      <c r="M239" s="93"/>
      <c r="N239" s="93"/>
      <c r="O239" s="93"/>
      <c r="P239" s="93"/>
      <c r="Q239" s="93"/>
      <c r="R239" s="93"/>
      <c r="S239" s="93"/>
      <c r="T239" s="93"/>
      <c r="U239" s="93"/>
    </row>
    <row r="240" spans="12:21" x14ac:dyDescent="0.2">
      <c r="L240" s="125"/>
      <c r="M240" s="93"/>
      <c r="N240" s="93"/>
      <c r="O240" s="93"/>
      <c r="P240" s="93"/>
      <c r="Q240" s="93"/>
      <c r="R240" s="93"/>
      <c r="S240" s="93"/>
      <c r="T240" s="93"/>
      <c r="U240" s="93"/>
    </row>
    <row r="241" spans="12:21" x14ac:dyDescent="0.2">
      <c r="L241" s="125"/>
      <c r="M241" s="93"/>
      <c r="N241" s="93"/>
      <c r="O241" s="93"/>
      <c r="P241" s="93"/>
      <c r="Q241" s="93"/>
      <c r="R241" s="93"/>
      <c r="S241" s="93"/>
      <c r="T241" s="93"/>
      <c r="U241" s="93"/>
    </row>
    <row r="242" spans="12:21" x14ac:dyDescent="0.2">
      <c r="L242" s="125"/>
      <c r="M242" s="93"/>
      <c r="N242" s="93"/>
      <c r="O242" s="93"/>
      <c r="P242" s="93"/>
      <c r="Q242" s="93"/>
      <c r="R242" s="93"/>
      <c r="S242" s="93"/>
      <c r="T242" s="93"/>
      <c r="U242" s="93"/>
    </row>
    <row r="243" spans="12:21" x14ac:dyDescent="0.2">
      <c r="L243" s="125"/>
      <c r="M243" s="93"/>
      <c r="N243" s="93"/>
      <c r="O243" s="93"/>
      <c r="P243" s="93"/>
      <c r="Q243" s="93"/>
      <c r="R243" s="93"/>
      <c r="S243" s="93"/>
      <c r="T243" s="93"/>
      <c r="U243" s="93"/>
    </row>
    <row r="244" spans="12:21" x14ac:dyDescent="0.2">
      <c r="L244" s="125"/>
      <c r="M244" s="93"/>
      <c r="N244" s="93"/>
      <c r="O244" s="93"/>
      <c r="P244" s="93"/>
      <c r="Q244" s="93"/>
      <c r="R244" s="93"/>
      <c r="S244" s="93"/>
      <c r="T244" s="93"/>
      <c r="U244" s="93"/>
    </row>
    <row r="245" spans="12:21" x14ac:dyDescent="0.2">
      <c r="L245" s="125"/>
      <c r="M245" s="93"/>
      <c r="N245" s="93"/>
      <c r="O245" s="93"/>
      <c r="P245" s="93"/>
      <c r="Q245" s="93"/>
      <c r="R245" s="93"/>
      <c r="S245" s="93"/>
      <c r="T245" s="93"/>
      <c r="U245" s="93"/>
    </row>
    <row r="246" spans="12:21" x14ac:dyDescent="0.2">
      <c r="L246" s="125"/>
      <c r="M246" s="93"/>
      <c r="N246" s="93"/>
      <c r="O246" s="93"/>
      <c r="P246" s="93"/>
      <c r="Q246" s="93"/>
      <c r="R246" s="93"/>
      <c r="S246" s="93"/>
      <c r="T246" s="93"/>
      <c r="U246" s="93"/>
    </row>
    <row r="247" spans="12:21" x14ac:dyDescent="0.2">
      <c r="L247" s="125"/>
      <c r="M247" s="93"/>
      <c r="N247" s="93"/>
      <c r="O247" s="93"/>
      <c r="P247" s="93"/>
      <c r="Q247" s="93"/>
      <c r="R247" s="93"/>
      <c r="S247" s="93"/>
      <c r="T247" s="93"/>
      <c r="U247" s="93"/>
    </row>
    <row r="248" spans="12:21" x14ac:dyDescent="0.2">
      <c r="L248" s="125"/>
      <c r="M248" s="93"/>
      <c r="N248" s="93"/>
      <c r="O248" s="93"/>
      <c r="P248" s="93"/>
      <c r="Q248" s="93"/>
      <c r="R248" s="93"/>
      <c r="S248" s="93"/>
      <c r="T248" s="93"/>
      <c r="U248" s="93"/>
    </row>
    <row r="249" spans="12:21" x14ac:dyDescent="0.2">
      <c r="L249" s="125"/>
      <c r="M249" s="93"/>
      <c r="N249" s="93"/>
      <c r="O249" s="93"/>
      <c r="P249" s="93"/>
      <c r="Q249" s="93"/>
      <c r="R249" s="93"/>
      <c r="S249" s="93"/>
      <c r="T249" s="93"/>
      <c r="U249" s="93"/>
    </row>
    <row r="250" spans="12:21" x14ac:dyDescent="0.2">
      <c r="L250" s="125"/>
      <c r="M250" s="93"/>
      <c r="N250" s="93"/>
      <c r="O250" s="93"/>
      <c r="P250" s="93"/>
      <c r="Q250" s="93"/>
      <c r="R250" s="93"/>
      <c r="S250" s="93"/>
      <c r="T250" s="93"/>
      <c r="U250" s="93"/>
    </row>
    <row r="251" spans="12:21" x14ac:dyDescent="0.2">
      <c r="L251" s="125"/>
      <c r="M251" s="93"/>
      <c r="N251" s="93"/>
      <c r="O251" s="93"/>
      <c r="P251" s="93"/>
      <c r="Q251" s="93"/>
      <c r="R251" s="93"/>
      <c r="S251" s="93"/>
      <c r="T251" s="93"/>
      <c r="U251" s="93"/>
    </row>
    <row r="252" spans="12:21" x14ac:dyDescent="0.2">
      <c r="L252" s="125"/>
      <c r="M252" s="93"/>
      <c r="N252" s="93"/>
      <c r="O252" s="93"/>
      <c r="P252" s="93"/>
      <c r="Q252" s="93"/>
      <c r="R252" s="93"/>
      <c r="S252" s="93"/>
      <c r="T252" s="93"/>
      <c r="U252" s="93"/>
    </row>
    <row r="253" spans="12:21" x14ac:dyDescent="0.2">
      <c r="L253" s="125"/>
      <c r="M253" s="93"/>
      <c r="N253" s="93"/>
      <c r="O253" s="93"/>
      <c r="P253" s="93"/>
      <c r="Q253" s="93"/>
      <c r="R253" s="93"/>
      <c r="S253" s="93"/>
      <c r="T253" s="93"/>
      <c r="U253" s="93"/>
    </row>
    <row r="254" spans="12:21" x14ac:dyDescent="0.2">
      <c r="L254" s="125"/>
      <c r="M254" s="93"/>
      <c r="N254" s="93"/>
      <c r="O254" s="93"/>
      <c r="P254" s="93"/>
      <c r="Q254" s="93"/>
      <c r="R254" s="93"/>
      <c r="S254" s="93"/>
      <c r="T254" s="93"/>
      <c r="U254" s="93"/>
    </row>
    <row r="255" spans="12:21" x14ac:dyDescent="0.2">
      <c r="L255" s="125"/>
      <c r="M255" s="93"/>
      <c r="N255" s="93"/>
      <c r="O255" s="93"/>
      <c r="P255" s="93"/>
      <c r="Q255" s="93"/>
      <c r="R255" s="93"/>
      <c r="S255" s="93"/>
      <c r="T255" s="93"/>
      <c r="U255" s="93"/>
    </row>
    <row r="256" spans="12:21" x14ac:dyDescent="0.2">
      <c r="L256" s="125"/>
      <c r="M256" s="93"/>
      <c r="N256" s="93"/>
      <c r="O256" s="93"/>
      <c r="P256" s="93"/>
      <c r="Q256" s="93"/>
      <c r="R256" s="93"/>
      <c r="S256" s="93"/>
      <c r="T256" s="93"/>
      <c r="U256" s="93"/>
    </row>
    <row r="257" spans="12:21" x14ac:dyDescent="0.2">
      <c r="L257" s="125"/>
      <c r="M257" s="93"/>
      <c r="N257" s="93"/>
      <c r="O257" s="93"/>
      <c r="P257" s="93"/>
      <c r="Q257" s="93"/>
      <c r="R257" s="93"/>
      <c r="S257" s="93"/>
      <c r="T257" s="93"/>
      <c r="U257" s="93"/>
    </row>
    <row r="258" spans="12:21" x14ac:dyDescent="0.2">
      <c r="L258" s="125"/>
      <c r="M258" s="93"/>
      <c r="N258" s="93"/>
      <c r="O258" s="93"/>
      <c r="P258" s="93"/>
      <c r="Q258" s="93"/>
      <c r="R258" s="93"/>
      <c r="S258" s="93"/>
      <c r="T258" s="93"/>
      <c r="U258" s="93"/>
    </row>
    <row r="259" spans="12:21" x14ac:dyDescent="0.2">
      <c r="L259" s="125"/>
      <c r="M259" s="93"/>
      <c r="N259" s="93"/>
      <c r="O259" s="93"/>
      <c r="P259" s="93"/>
      <c r="Q259" s="93"/>
      <c r="R259" s="93"/>
      <c r="S259" s="93"/>
      <c r="T259" s="93"/>
      <c r="U259" s="93"/>
    </row>
    <row r="260" spans="12:21" x14ac:dyDescent="0.2">
      <c r="L260" s="125"/>
      <c r="M260" s="93"/>
      <c r="N260" s="93"/>
      <c r="O260" s="93"/>
      <c r="P260" s="93"/>
      <c r="Q260" s="93"/>
      <c r="R260" s="93"/>
      <c r="S260" s="93"/>
      <c r="T260" s="93"/>
      <c r="U260" s="93"/>
    </row>
    <row r="261" spans="12:21" x14ac:dyDescent="0.2">
      <c r="L261" s="125"/>
      <c r="M261" s="93"/>
      <c r="N261" s="93"/>
      <c r="O261" s="93"/>
      <c r="P261" s="93"/>
      <c r="Q261" s="93"/>
      <c r="R261" s="93"/>
      <c r="S261" s="93"/>
      <c r="T261" s="93"/>
      <c r="U261" s="93"/>
    </row>
    <row r="262" spans="12:21" x14ac:dyDescent="0.2">
      <c r="L262" s="125"/>
      <c r="M262" s="93"/>
      <c r="N262" s="93"/>
      <c r="O262" s="93"/>
      <c r="P262" s="93"/>
      <c r="Q262" s="93"/>
      <c r="R262" s="93"/>
      <c r="S262" s="93"/>
      <c r="T262" s="93"/>
      <c r="U262" s="93"/>
    </row>
    <row r="263" spans="12:21" x14ac:dyDescent="0.2">
      <c r="L263" s="125"/>
      <c r="M263" s="93"/>
      <c r="N263" s="93"/>
      <c r="O263" s="93"/>
      <c r="P263" s="93"/>
      <c r="Q263" s="93"/>
      <c r="R263" s="93"/>
      <c r="S263" s="93"/>
      <c r="T263" s="93"/>
      <c r="U263" s="93"/>
    </row>
    <row r="264" spans="12:21" x14ac:dyDescent="0.2">
      <c r="L264" s="125"/>
      <c r="M264" s="93"/>
      <c r="N264" s="93"/>
      <c r="O264" s="93"/>
      <c r="P264" s="93"/>
      <c r="Q264" s="93"/>
      <c r="R264" s="93"/>
      <c r="S264" s="93"/>
      <c r="T264" s="93"/>
      <c r="U264" s="93"/>
    </row>
    <row r="265" spans="12:21" x14ac:dyDescent="0.2">
      <c r="L265" s="125"/>
      <c r="M265" s="93"/>
      <c r="N265" s="93"/>
      <c r="O265" s="93"/>
      <c r="P265" s="93"/>
      <c r="Q265" s="93"/>
      <c r="R265" s="93"/>
      <c r="S265" s="93"/>
      <c r="T265" s="93"/>
      <c r="U265" s="93"/>
    </row>
    <row r="266" spans="12:21" x14ac:dyDescent="0.2">
      <c r="L266" s="125"/>
      <c r="M266" s="93"/>
      <c r="N266" s="93"/>
      <c r="O266" s="93"/>
      <c r="P266" s="93"/>
      <c r="Q266" s="93"/>
      <c r="R266" s="93"/>
      <c r="S266" s="93"/>
      <c r="T266" s="93"/>
      <c r="U266" s="93"/>
    </row>
    <row r="267" spans="12:21" x14ac:dyDescent="0.2">
      <c r="L267" s="125"/>
      <c r="M267" s="93"/>
      <c r="N267" s="93"/>
      <c r="O267" s="93"/>
      <c r="P267" s="93"/>
      <c r="Q267" s="93"/>
      <c r="R267" s="93"/>
      <c r="S267" s="93"/>
      <c r="T267" s="93"/>
      <c r="U267" s="93"/>
    </row>
    <row r="268" spans="12:21" x14ac:dyDescent="0.2">
      <c r="L268" s="125"/>
      <c r="M268" s="93"/>
      <c r="N268" s="93"/>
      <c r="O268" s="93"/>
      <c r="P268" s="93"/>
      <c r="Q268" s="93"/>
      <c r="R268" s="93"/>
      <c r="S268" s="93"/>
      <c r="T268" s="93"/>
      <c r="U268" s="93"/>
    </row>
    <row r="269" spans="12:21" x14ac:dyDescent="0.2">
      <c r="L269" s="125"/>
      <c r="M269" s="93"/>
      <c r="N269" s="93"/>
      <c r="O269" s="93"/>
      <c r="P269" s="93"/>
      <c r="Q269" s="93"/>
      <c r="R269" s="93"/>
      <c r="S269" s="93"/>
      <c r="T269" s="93"/>
      <c r="U269" s="93"/>
    </row>
    <row r="270" spans="12:21" x14ac:dyDescent="0.2">
      <c r="L270" s="125"/>
      <c r="M270" s="93"/>
      <c r="N270" s="93"/>
      <c r="O270" s="93"/>
      <c r="P270" s="93"/>
      <c r="Q270" s="93"/>
      <c r="R270" s="93"/>
      <c r="S270" s="93"/>
      <c r="T270" s="93"/>
      <c r="U270" s="93"/>
    </row>
  </sheetData>
  <sheetProtection password="81D3" sheet="1" objects="1" scenarios="1" selectLockedCells="1" selectUnlockedCells="1"/>
  <mergeCells count="15">
    <mergeCell ref="B14:C14"/>
    <mergeCell ref="B4:H4"/>
    <mergeCell ref="B147:H147"/>
    <mergeCell ref="B148:E148"/>
    <mergeCell ref="B16:C16"/>
    <mergeCell ref="B17:C17"/>
    <mergeCell ref="B18:C18"/>
    <mergeCell ref="B15:C15"/>
    <mergeCell ref="B19:C19"/>
    <mergeCell ref="G20:I20"/>
    <mergeCell ref="B1:H1"/>
    <mergeCell ref="B2:H2"/>
    <mergeCell ref="B11:C11"/>
    <mergeCell ref="B12:C12"/>
    <mergeCell ref="B13:C13"/>
  </mergeCells>
  <pageMargins left="0.27559055118110237" right="0.27559055118110237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Елена</cp:lastModifiedBy>
  <cp:lastPrinted>2017-06-08T06:04:19Z</cp:lastPrinted>
  <dcterms:created xsi:type="dcterms:W3CDTF">2013-11-07T08:01:25Z</dcterms:created>
  <dcterms:modified xsi:type="dcterms:W3CDTF">2017-06-08T10:06:51Z</dcterms:modified>
</cp:coreProperties>
</file>