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8085"/>
  </bookViews>
  <sheets>
    <sheet name="2011" sheetId="3" r:id="rId1"/>
  </sheets>
  <calcPr calcId="145621"/>
</workbook>
</file>

<file path=xl/calcChain.xml><?xml version="1.0" encoding="utf-8"?>
<calcChain xmlns="http://schemas.openxmlformats.org/spreadsheetml/2006/main">
  <c r="K54" i="3" l="1"/>
  <c r="G54" i="3" s="1"/>
  <c r="K60" i="3"/>
  <c r="G60" i="3" s="1"/>
  <c r="K86" i="3" l="1"/>
  <c r="G86" i="3" s="1"/>
  <c r="K33" i="3"/>
  <c r="G33" i="3" s="1"/>
  <c r="G96" i="3"/>
  <c r="K96" i="3"/>
  <c r="K92" i="3"/>
  <c r="G92" i="3" s="1"/>
  <c r="K64" i="3"/>
  <c r="G64" i="3" s="1"/>
  <c r="K37" i="3" l="1"/>
  <c r="G37" i="3" s="1"/>
  <c r="K72" i="3"/>
  <c r="G72" i="3" s="1"/>
  <c r="K41" i="3"/>
  <c r="G41" i="3" s="1"/>
  <c r="K25" i="3"/>
  <c r="K27" i="3"/>
  <c r="G27" i="3" s="1"/>
  <c r="K26" i="3"/>
  <c r="G26" i="3" s="1"/>
  <c r="K29" i="3"/>
  <c r="G29" i="3" s="1"/>
  <c r="K97" i="3"/>
  <c r="G97" i="3" s="1"/>
  <c r="K35" i="3"/>
  <c r="G35" i="3" s="1"/>
  <c r="K32" i="3"/>
  <c r="G32" i="3" s="1"/>
  <c r="K95" i="3"/>
  <c r="G95" i="3" s="1"/>
  <c r="K30" i="3"/>
  <c r="G30" i="3" s="1"/>
  <c r="K28" i="3"/>
  <c r="G28" i="3" s="1"/>
  <c r="G36" i="3"/>
  <c r="K36" i="3"/>
  <c r="K34" i="3"/>
  <c r="G34" i="3" s="1"/>
  <c r="K39" i="3"/>
  <c r="G39" i="3" s="1"/>
  <c r="G43" i="3"/>
  <c r="K43" i="3"/>
  <c r="K42" i="3"/>
  <c r="G42" i="3" s="1"/>
  <c r="K47" i="3"/>
  <c r="G47" i="3" s="1"/>
  <c r="K45" i="3"/>
  <c r="G45" i="3" s="1"/>
  <c r="G46" i="3"/>
  <c r="K46" i="3"/>
  <c r="K44" i="3"/>
  <c r="G44" i="3" s="1"/>
  <c r="K48" i="3"/>
  <c r="G48" i="3" s="1"/>
  <c r="K40" i="3"/>
  <c r="G40" i="3" s="1"/>
  <c r="K49" i="3"/>
  <c r="G49" i="3" s="1"/>
  <c r="K51" i="3"/>
  <c r="G51" i="3" s="1"/>
  <c r="K53" i="3"/>
  <c r="G53" i="3" s="1"/>
  <c r="K61" i="3"/>
  <c r="G61" i="3" s="1"/>
  <c r="K82" i="3"/>
  <c r="G82" i="3" s="1"/>
  <c r="K50" i="3"/>
  <c r="G50" i="3" s="1"/>
  <c r="K81" i="3"/>
  <c r="G81" i="3" s="1"/>
  <c r="K59" i="3"/>
  <c r="G59" i="3" s="1"/>
  <c r="K57" i="3"/>
  <c r="G57" i="3" s="1"/>
  <c r="K58" i="3"/>
  <c r="G58" i="3" s="1"/>
  <c r="K55" i="3"/>
  <c r="G55" i="3" s="1"/>
  <c r="K63" i="3"/>
  <c r="G63" i="3" s="1"/>
  <c r="K67" i="3"/>
  <c r="G67" i="3" s="1"/>
  <c r="K65" i="3"/>
  <c r="G65" i="3" s="1"/>
  <c r="K56" i="3"/>
  <c r="G56" i="3" s="1"/>
  <c r="K83" i="3"/>
  <c r="G83" i="3" s="1"/>
  <c r="K66" i="3"/>
  <c r="G66" i="3" s="1"/>
  <c r="K71" i="3"/>
  <c r="G71" i="3" s="1"/>
  <c r="K89" i="3"/>
  <c r="G89" i="3" s="1"/>
  <c r="K74" i="3"/>
  <c r="G74" i="3" s="1"/>
  <c r="G75" i="3"/>
  <c r="K75" i="3"/>
  <c r="G69" i="3"/>
  <c r="K69" i="3"/>
  <c r="K70" i="3"/>
  <c r="G70" i="3" s="1"/>
  <c r="K80" i="3"/>
  <c r="G80" i="3" s="1"/>
  <c r="K78" i="3"/>
  <c r="G78" i="3" s="1"/>
  <c r="G79" i="3"/>
  <c r="K79" i="3"/>
  <c r="K91" i="3"/>
  <c r="G91" i="3" s="1"/>
  <c r="K90" i="3"/>
  <c r="G90" i="3" s="1"/>
  <c r="K84" i="3"/>
  <c r="G84" i="3" s="1"/>
  <c r="K85" i="3"/>
  <c r="G85" i="3" s="1"/>
  <c r="K68" i="3"/>
  <c r="G68" i="3" s="1"/>
  <c r="K88" i="3"/>
  <c r="G88" i="3" s="1"/>
  <c r="K87" i="3"/>
  <c r="G87" i="3" s="1"/>
  <c r="K98" i="3" l="1"/>
  <c r="K99" i="3"/>
  <c r="K100" i="3"/>
  <c r="K31" i="3"/>
  <c r="K38" i="3"/>
  <c r="K52" i="3"/>
  <c r="K62" i="3"/>
  <c r="K73" i="3"/>
  <c r="K76" i="3"/>
  <c r="K77" i="3"/>
  <c r="K24" i="3"/>
  <c r="E11" i="3"/>
  <c r="E17" i="3" s="1"/>
  <c r="E19" i="3" s="1"/>
  <c r="D11" i="3"/>
  <c r="D17" i="3" s="1"/>
  <c r="D18" i="3"/>
  <c r="G11" i="3"/>
  <c r="G93" i="3"/>
  <c r="F10" i="3" s="1"/>
  <c r="F11" i="3" s="1"/>
  <c r="F17" i="3" s="1"/>
  <c r="G101" i="3"/>
  <c r="D19" i="3" l="1"/>
  <c r="K93" i="3"/>
  <c r="K101" i="3"/>
</calcChain>
</file>

<file path=xl/sharedStrings.xml><?xml version="1.0" encoding="utf-8"?>
<sst xmlns="http://schemas.openxmlformats.org/spreadsheetml/2006/main" count="357" uniqueCount="207">
  <si>
    <t xml:space="preserve">ОТЧЕТ «Подари детям Жизнь» </t>
  </si>
  <si>
    <t>Дети</t>
  </si>
  <si>
    <t>USD</t>
  </si>
  <si>
    <t>Имя</t>
  </si>
  <si>
    <t>Год рождения</t>
  </si>
  <si>
    <t>Диагноз</t>
  </si>
  <si>
    <t>Дата операции</t>
  </si>
  <si>
    <t>Клиника</t>
  </si>
  <si>
    <t>Стоимость операции USD</t>
  </si>
  <si>
    <t>2011</t>
  </si>
  <si>
    <t>Санкт-Петербург, Детская городская больница №19 им.К.А.Раухфуза</t>
  </si>
  <si>
    <t>2010</t>
  </si>
  <si>
    <t>Абдуали Дидар</t>
  </si>
  <si>
    <t>остеосаркома</t>
  </si>
  <si>
    <t>Москва, Российская детская клиническая больница</t>
  </si>
  <si>
    <t>Самарский областной клинический кардиологический диспансер</t>
  </si>
  <si>
    <t>Ажикенов Мансур</t>
  </si>
  <si>
    <t>врожденный порок сердца</t>
  </si>
  <si>
    <t>Новосибирск, НИИ патологии кровообращения им.ак.Е.Н.Мешалкина</t>
  </si>
  <si>
    <t>Борисов Егор</t>
  </si>
  <si>
    <t>Томск, НИИ Кардиологии ТНЦ СО РАМН</t>
  </si>
  <si>
    <t>Нуртай Руслана</t>
  </si>
  <si>
    <t>долларов США</t>
  </si>
  <si>
    <t>Гололобов Иван</t>
  </si>
  <si>
    <t>вывих бедренных костей</t>
  </si>
  <si>
    <t>Санкт-Петерсбург, клиника им. Турнера</t>
  </si>
  <si>
    <t xml:space="preserve">ретинопатия недоношенных 5-степени </t>
  </si>
  <si>
    <t>Санкт-Петербург, Детская клиническая больница</t>
  </si>
  <si>
    <t>Фишер Лиза</t>
  </si>
  <si>
    <t>остеомиелит бедренной кости</t>
  </si>
  <si>
    <t>Санкт-Петербург, клиника им. Турнера</t>
  </si>
  <si>
    <t>2003</t>
  </si>
  <si>
    <t>гермафродитизм</t>
  </si>
  <si>
    <t>2008</t>
  </si>
  <si>
    <t>Врожденная дисфункция коры надпочечников</t>
  </si>
  <si>
    <t>опухоль головного мозга</t>
  </si>
  <si>
    <t>Жармаханов Эльдениз</t>
  </si>
  <si>
    <t>Давузов Ринат</t>
  </si>
  <si>
    <t>Пискунович Женя</t>
  </si>
  <si>
    <t>экстрофия мочевого пузыря</t>
  </si>
  <si>
    <t xml:space="preserve">Хонатбекулы Аманбол </t>
  </si>
  <si>
    <t>Клиника Аджибадем, Стамбул</t>
  </si>
  <si>
    <t>Частные спонсоры - оплата напрямую в клиники</t>
  </si>
  <si>
    <t>Итого частные спонсоры 2011г.</t>
  </si>
  <si>
    <t>о перечисленных средствах за лечение детей на 31 декабря 2011</t>
  </si>
  <si>
    <t>Всего со счёта ОФ "ДОМ" 2007 - 2011</t>
  </si>
  <si>
    <t>"Центр Тяжести", 2009</t>
  </si>
  <si>
    <t>деньги собирались на ЦТ, фонд "ДОМ" оказывал консультационную поддержку родителям, поэтому мы не включаем эти средства в общую сумму по акции "Подари детям жизнь"</t>
  </si>
  <si>
    <t>ВСЕГО ПО АКЦИИ "ПОДАРИ ДЕТЯМ ЖИЗНЬ" 2007 - 2011</t>
  </si>
  <si>
    <t>количество операций 2011</t>
  </si>
  <si>
    <t>количество операций 2007-2011</t>
  </si>
  <si>
    <t>Мингали Асылхан</t>
  </si>
  <si>
    <t>диагностика (по итогам нужна пересадка сердца)</t>
  </si>
  <si>
    <t>172 900 российских рублей</t>
  </si>
  <si>
    <t>Махметова Аружан</t>
  </si>
  <si>
    <t>220 300 российских рублей</t>
  </si>
  <si>
    <t>2011, 2-й курс лечения</t>
  </si>
  <si>
    <t>34 050 российских рублей</t>
  </si>
  <si>
    <t>Узембаев Нурсултан</t>
  </si>
  <si>
    <t>198 900 российских рублей</t>
  </si>
  <si>
    <t>НИИ урологии г.Москва</t>
  </si>
  <si>
    <t>Еркинбек Сымбат</t>
  </si>
  <si>
    <t>2011 (обследование, в операции отказано)</t>
  </si>
  <si>
    <t>13 800 российских рублей</t>
  </si>
  <si>
    <t>Кылмырза Адилет</t>
  </si>
  <si>
    <t>13 900 российских рублей</t>
  </si>
  <si>
    <t>Бейбит Балнур</t>
  </si>
  <si>
    <t>179 200 российских рублей</t>
  </si>
  <si>
    <t>1 900 российских рублей</t>
  </si>
  <si>
    <t>2011             3-й курс лечения</t>
  </si>
  <si>
    <t>6 280 российских рублей</t>
  </si>
  <si>
    <t>Тулендинова Камила</t>
  </si>
  <si>
    <t>144 220 российских рублей</t>
  </si>
  <si>
    <t>остеосоркома</t>
  </si>
  <si>
    <t>2011              2-й курс лечения</t>
  </si>
  <si>
    <t>Яхьяров Ильхам</t>
  </si>
  <si>
    <t>Зияданов Берикхан</t>
  </si>
  <si>
    <t>артрогриппоз</t>
  </si>
  <si>
    <t>99 300 российских рублей</t>
  </si>
  <si>
    <t>241 800 российских рублей</t>
  </si>
  <si>
    <t>Турдакын Бекзат</t>
  </si>
  <si>
    <t>196 600 российских рублей</t>
  </si>
  <si>
    <t>Мошечкова Виктория</t>
  </si>
  <si>
    <t>182 600 российских рублей</t>
  </si>
  <si>
    <t>Кенес Нурислам</t>
  </si>
  <si>
    <t>207 900 российских рублей</t>
  </si>
  <si>
    <t>Садуакас Ислам</t>
  </si>
  <si>
    <t>291 960 российских рублей</t>
  </si>
  <si>
    <t>Мурадилова Айсаням</t>
  </si>
  <si>
    <t>194 310 российских рублей</t>
  </si>
  <si>
    <t>Тойганбек Рыскельди</t>
  </si>
  <si>
    <t>126  500 российских рублей</t>
  </si>
  <si>
    <t>12 394 российских рублей</t>
  </si>
  <si>
    <t>Чапай Алихан</t>
  </si>
  <si>
    <t>205 600 российских рублей</t>
  </si>
  <si>
    <t>Вакасов Олжас</t>
  </si>
  <si>
    <t>2011            2-я операция</t>
  </si>
  <si>
    <t>458 050 российских рублей</t>
  </si>
  <si>
    <t>Шатенов Рамазан</t>
  </si>
  <si>
    <t>441 115 российских рублей</t>
  </si>
  <si>
    <t>Метель Ярослав</t>
  </si>
  <si>
    <t>острый лимфобластный лейкоз</t>
  </si>
  <si>
    <t>Минский центр онкологии и гематологии</t>
  </si>
  <si>
    <t>Камерденов Камиль</t>
  </si>
  <si>
    <t>OU-ретинопатия</t>
  </si>
  <si>
    <t>Санкт-Петерсбург, детская клиническая больница</t>
  </si>
  <si>
    <t>43 150 российских рублей</t>
  </si>
  <si>
    <t>Жантурсынова Дильназ</t>
  </si>
  <si>
    <t>Москва, Научный центр сердечно-сосудистой хирургии им. А.Н.Бакулева РАМН</t>
  </si>
  <si>
    <t>Рахым Айлин</t>
  </si>
  <si>
    <t>Новосибирск, НИИ патологии крови им.ак.Е.Н.Мешалкина</t>
  </si>
  <si>
    <t>374 673 российских рублей</t>
  </si>
  <si>
    <t>Грищенко Ярослав</t>
  </si>
  <si>
    <t>2011, 2-я операция</t>
  </si>
  <si>
    <t>450 960 российских рублей</t>
  </si>
  <si>
    <t>Сериков Ерасыл</t>
  </si>
  <si>
    <t>Ястребов Сергей</t>
  </si>
  <si>
    <t>Грицаева Александра</t>
  </si>
  <si>
    <t>врожденная локтевая косорукость слева</t>
  </si>
  <si>
    <t>Санкт-Петербург, НИИ ортопедии им.Турнера</t>
  </si>
  <si>
    <t>200 000 российских рублей</t>
  </si>
  <si>
    <t>Рехимжанова Назугум</t>
  </si>
  <si>
    <t>2011, обследование</t>
  </si>
  <si>
    <t>10 500 российских рублей</t>
  </si>
  <si>
    <t>Кабдолов Мерали</t>
  </si>
  <si>
    <t>2011, 3-й курс лечения</t>
  </si>
  <si>
    <t>Наурызбай Жансая</t>
  </si>
  <si>
    <t>Исканова Ралина</t>
  </si>
  <si>
    <t>93 798 российских рублей</t>
  </si>
  <si>
    <t>Жолдыбай Абдуррахим</t>
  </si>
  <si>
    <t>38 000 российских рублей</t>
  </si>
  <si>
    <t>Сулейманов Алишан</t>
  </si>
  <si>
    <t>211 080 российских рублей</t>
  </si>
  <si>
    <t>Гагиев Юсуф</t>
  </si>
  <si>
    <t>149 160 российских рублей</t>
  </si>
  <si>
    <t>г.Курган академия им. Елизарова</t>
  </si>
  <si>
    <t>130 000 российских рублей</t>
  </si>
  <si>
    <t>Осипов Алексей</t>
  </si>
  <si>
    <t>130 400 российских рублей</t>
  </si>
  <si>
    <t>47 850 российских рублей</t>
  </si>
  <si>
    <t>Алимсак Амир</t>
  </si>
  <si>
    <t>2011, доплата за лечение</t>
  </si>
  <si>
    <t>Октябрь Аяулым</t>
  </si>
  <si>
    <t>198 275 российских рублей</t>
  </si>
  <si>
    <t>Тиньгаева Лия</t>
  </si>
  <si>
    <t>Ходжабаев Асылбек</t>
  </si>
  <si>
    <t>2011, 2-я операция, вклад семьи - 5 000 USD</t>
  </si>
  <si>
    <t>Клишин Вова</t>
  </si>
  <si>
    <t>Рабдомиосаркома мочевого пузыря</t>
  </si>
  <si>
    <t>Челябинская областная детская больница</t>
  </si>
  <si>
    <t>Кудайберген Айгерим</t>
  </si>
  <si>
    <t>Лизунова Даша</t>
  </si>
  <si>
    <t>233 775 российских рублей</t>
  </si>
  <si>
    <t>Итакова Амира</t>
  </si>
  <si>
    <t>377 700 российских рублей</t>
  </si>
  <si>
    <t>Жумабек Алуа</t>
  </si>
  <si>
    <t>451 700 российских рублей</t>
  </si>
  <si>
    <t>228 180 российских рублей</t>
  </si>
  <si>
    <t>378 560 российских рублей</t>
  </si>
  <si>
    <t>207 535 российских рублей</t>
  </si>
  <si>
    <t>Куралбек Акбота</t>
  </si>
  <si>
    <t>килоидные рубцы после ожога</t>
  </si>
  <si>
    <t>Бигалиева Улнур</t>
  </si>
  <si>
    <t>63 780 российских рублей</t>
  </si>
  <si>
    <t>Амангельдин Сейдулла</t>
  </si>
  <si>
    <t>61 050 российских рублей</t>
  </si>
  <si>
    <t>128 188 российских рублей</t>
  </si>
  <si>
    <t>Бахдаулет Диас</t>
  </si>
  <si>
    <t>Муратбек Айрау</t>
  </si>
  <si>
    <t>ВСЕГО ЗА 2011 ПО НАСТОЯЩИЙ МОМЕНТ</t>
  </si>
  <si>
    <t>Аденбеков Ералы</t>
  </si>
  <si>
    <t>2011, 1-я операция</t>
  </si>
  <si>
    <t>Бошкен Аделя</t>
  </si>
  <si>
    <t>Клименко Олег</t>
  </si>
  <si>
    <t>операция сделана бесплатно</t>
  </si>
  <si>
    <t>Канаткызы Амира</t>
  </si>
  <si>
    <t>Побрус Яша</t>
  </si>
  <si>
    <t>EUR</t>
  </si>
  <si>
    <t>Всего детей</t>
  </si>
  <si>
    <t>Сумма в тенге</t>
  </si>
  <si>
    <t>Партнёры (фонды и компании), 2007- 2010</t>
  </si>
  <si>
    <t>"Российский фонд Помощи", 2009-2010</t>
  </si>
  <si>
    <t>Частный спонсор, 2011</t>
  </si>
  <si>
    <t>Частные спонсоры, 2007-2010</t>
  </si>
  <si>
    <t xml:space="preserve">Курс USD </t>
  </si>
  <si>
    <t xml:space="preserve">Примечания: 
1. Большинство оплат за лечение детей в зарубежные клиники производится в долларах. В период с 2007 по 2015 года отчет по тратам велся в долларах. С 2016 отчёт ведется в тенге  по курсу на день оплаты. Суммы оплат за период с 2007 по 2015 года пересчитаны в тенге по средне-годовому курсу. 
2. В отчете отражается сумма оплат, произведенных за лечение ребёнка в клинику. Итоговая фактическая сумма расходов отражается в актах выполненных работ от клиники. В случае, если стоимость лечение была немного ниже произведенной оплаты, остаток переводится на другого ребёнка. Если вы хотите получить подробный отчет с платежными документами, обратитесь к нам по электронной почте info@detdom.kz.
3. Количество оплаченных операций превышает количество детей, так как некоторым детям требовалось 2 и более операций с промежутком между операциями от нескольких месяцев до нескольких лет. </t>
  </si>
  <si>
    <t>Операции/курсы лечения</t>
  </si>
  <si>
    <t>Стоимость операции, валюта (по Акту выполненных работ)</t>
  </si>
  <si>
    <t>Курс валюты на день оплаты</t>
  </si>
  <si>
    <t>4 350 USD</t>
  </si>
  <si>
    <t>19 000 USD</t>
  </si>
  <si>
    <t>269 834,34 российских рублей</t>
  </si>
  <si>
    <t>181 240 российских рублей</t>
  </si>
  <si>
    <t>233 755 российских рублей</t>
  </si>
  <si>
    <t>311 510 российских рублей</t>
  </si>
  <si>
    <t>132 200 российских рублей</t>
  </si>
  <si>
    <t>165 880 российских рублей</t>
  </si>
  <si>
    <t>199 031,53 российских рублей</t>
  </si>
  <si>
    <t>184 680 российских рублей</t>
  </si>
  <si>
    <t>15 250 российских рублей</t>
  </si>
  <si>
    <t>59 038 российских рублей</t>
  </si>
  <si>
    <t>Ертай Султан</t>
  </si>
  <si>
    <t>147 311,95 российских рублей</t>
  </si>
  <si>
    <t>494 700 российских рублей</t>
  </si>
  <si>
    <t>133 164,58 российских рублей</t>
  </si>
  <si>
    <t>43 750 российских рублей (перекидка на Поташову Марию)</t>
  </si>
  <si>
    <t>Бесплатные операции в рамках сотрудничества с фондом "ДОМ", 2009-2011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</si>
</sst>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b/>
      <sz val="9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1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0" fillId="0" borderId="0" xfId="0" applyFill="1"/>
    <xf numFmtId="0" fontId="2" fillId="0" borderId="0" xfId="0" applyFont="1" applyBorder="1" applyAlignment="1">
      <alignment horizontal="left" vertical="top" wrapText="1"/>
    </xf>
    <xf numFmtId="0" fontId="0" fillId="0" borderId="0" xfId="0" applyFill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3" fontId="5" fillId="0" borderId="0" xfId="0" applyNumberFormat="1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left" vertical="top" wrapText="1"/>
    </xf>
    <xf numFmtId="3" fontId="5" fillId="0" borderId="0" xfId="0" applyNumberFormat="1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left" vertical="top" wrapText="1"/>
    </xf>
    <xf numFmtId="3" fontId="5" fillId="0" borderId="0" xfId="0" applyNumberFormat="1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/>
    </xf>
    <xf numFmtId="3" fontId="6" fillId="2" borderId="0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3" fontId="6" fillId="4" borderId="5" xfId="0" applyNumberFormat="1" applyFont="1" applyFill="1" applyBorder="1" applyAlignment="1">
      <alignment horizontal="right" vertical="top" wrapText="1"/>
    </xf>
    <xf numFmtId="0" fontId="6" fillId="4" borderId="7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6" fillId="4" borderId="5" xfId="0" applyFont="1" applyFill="1" applyBorder="1" applyAlignment="1">
      <alignment vertical="top"/>
    </xf>
    <xf numFmtId="3" fontId="6" fillId="4" borderId="5" xfId="0" applyNumberFormat="1" applyFont="1" applyFill="1" applyBorder="1" applyAlignment="1">
      <alignment vertical="top"/>
    </xf>
    <xf numFmtId="0" fontId="6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3" fontId="5" fillId="2" borderId="0" xfId="0" applyNumberFormat="1" applyFont="1" applyFill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49" fontId="1" fillId="0" borderId="0" xfId="0" applyNumberFormat="1" applyFont="1" applyAlignment="1">
      <alignment vertical="top"/>
    </xf>
    <xf numFmtId="0" fontId="0" fillId="5" borderId="0" xfId="0" applyFill="1"/>
    <xf numFmtId="0" fontId="0" fillId="6" borderId="0" xfId="0" applyFill="1"/>
    <xf numFmtId="0" fontId="0" fillId="7" borderId="0" xfId="0" applyFill="1"/>
    <xf numFmtId="3" fontId="5" fillId="0" borderId="0" xfId="0" applyNumberFormat="1" applyFont="1" applyFill="1" applyBorder="1" applyAlignment="1">
      <alignment vertical="top" wrapText="1"/>
    </xf>
    <xf numFmtId="0" fontId="0" fillId="8" borderId="0" xfId="0" applyFill="1"/>
    <xf numFmtId="0" fontId="5" fillId="2" borderId="9" xfId="0" applyFont="1" applyFill="1" applyBorder="1" applyAlignment="1">
      <alignment horizontal="right" vertical="top" wrapText="1"/>
    </xf>
    <xf numFmtId="3" fontId="6" fillId="4" borderId="7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3" fillId="8" borderId="0" xfId="0" applyFont="1" applyFill="1" applyAlignment="1">
      <alignment vertical="top" wrapText="1"/>
    </xf>
    <xf numFmtId="0" fontId="0" fillId="8" borderId="0" xfId="0" applyFill="1" applyAlignment="1">
      <alignment vertical="top" wrapText="1"/>
    </xf>
    <xf numFmtId="0" fontId="3" fillId="7" borderId="0" xfId="0" applyFont="1" applyFill="1"/>
    <xf numFmtId="0" fontId="3" fillId="8" borderId="0" xfId="0" applyFont="1" applyFill="1"/>
    <xf numFmtId="0" fontId="3" fillId="7" borderId="0" xfId="0" applyFont="1" applyFill="1" applyAlignment="1">
      <alignment vertical="top" wrapText="1"/>
    </xf>
    <xf numFmtId="0" fontId="3" fillId="5" borderId="0" xfId="0" applyFont="1" applyFill="1" applyAlignment="1">
      <alignment vertical="top" wrapText="1"/>
    </xf>
    <xf numFmtId="0" fontId="0" fillId="6" borderId="0" xfId="0" applyFill="1" applyAlignment="1">
      <alignment vertical="top" wrapText="1"/>
    </xf>
    <xf numFmtId="0" fontId="3" fillId="6" borderId="0" xfId="0" applyFont="1" applyFill="1" applyAlignment="1">
      <alignment vertical="top" wrapText="1"/>
    </xf>
    <xf numFmtId="0" fontId="3" fillId="6" borderId="0" xfId="0" applyFont="1" applyFill="1"/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0" fontId="5" fillId="6" borderId="1" xfId="0" applyNumberFormat="1" applyFont="1" applyFill="1" applyBorder="1" applyAlignment="1">
      <alignment horizontal="left" vertical="top" wrapText="1"/>
    </xf>
    <xf numFmtId="3" fontId="5" fillId="6" borderId="1" xfId="0" applyNumberFormat="1" applyFont="1" applyFill="1" applyBorder="1" applyAlignment="1">
      <alignment horizontal="right" vertical="top" wrapText="1"/>
    </xf>
    <xf numFmtId="3" fontId="5" fillId="6" borderId="1" xfId="0" applyNumberFormat="1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top" wrapText="1"/>
    </xf>
    <xf numFmtId="3" fontId="5" fillId="6" borderId="1" xfId="0" applyNumberFormat="1" applyFont="1" applyFill="1" applyBorder="1" applyAlignment="1">
      <alignment vertical="top"/>
    </xf>
    <xf numFmtId="0" fontId="5" fillId="6" borderId="1" xfId="0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/>
    </xf>
    <xf numFmtId="0" fontId="5" fillId="6" borderId="9" xfId="0" applyFont="1" applyFill="1" applyBorder="1" applyAlignment="1">
      <alignment horizontal="left" vertical="top" wrapText="1"/>
    </xf>
    <xf numFmtId="0" fontId="5" fillId="6" borderId="7" xfId="0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horizontal="left" vertical="top" wrapText="1"/>
    </xf>
    <xf numFmtId="0" fontId="5" fillId="6" borderId="10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vertical="top" wrapText="1"/>
    </xf>
    <xf numFmtId="0" fontId="5" fillId="6" borderId="4" xfId="0" applyFont="1" applyFill="1" applyBorder="1" applyAlignment="1">
      <alignment horizontal="left" vertical="top" wrapText="1"/>
    </xf>
    <xf numFmtId="0" fontId="5" fillId="6" borderId="9" xfId="0" applyFont="1" applyFill="1" applyBorder="1" applyAlignment="1">
      <alignment vertical="top" wrapText="1"/>
    </xf>
    <xf numFmtId="49" fontId="5" fillId="6" borderId="7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6"/>
  <sheetViews>
    <sheetView tabSelected="1" zoomScale="85" zoomScaleNormal="85" workbookViewId="0">
      <selection activeCell="A95" sqref="A95:M100"/>
    </sheetView>
  </sheetViews>
  <sheetFormatPr defaultRowHeight="12.75" x14ac:dyDescent="0.2"/>
  <cols>
    <col min="1" max="1" width="5.42578125" style="11" customWidth="1"/>
    <col min="2" max="2" width="16.140625" style="12" customWidth="1"/>
    <col min="3" max="3" width="7.7109375" style="13" customWidth="1"/>
    <col min="4" max="4" width="15" style="13" customWidth="1"/>
    <col min="5" max="5" width="10.7109375" style="13" customWidth="1"/>
    <col min="6" max="6" width="18.7109375" style="13" customWidth="1"/>
    <col min="7" max="7" width="12.7109375" style="14" customWidth="1"/>
    <col min="8" max="8" width="12" style="15" customWidth="1"/>
    <col min="9" max="9" width="6.5703125" style="15" customWidth="1"/>
    <col min="10" max="10" width="9.7109375" style="15" customWidth="1"/>
    <col min="11" max="11" width="12" style="15" customWidth="1"/>
    <col min="12" max="12" width="8" style="16" customWidth="1"/>
  </cols>
  <sheetData>
    <row r="1" spans="1:21" ht="18.75" customHeight="1" x14ac:dyDescent="0.2">
      <c r="B1" s="103" t="s">
        <v>0</v>
      </c>
      <c r="C1" s="103"/>
      <c r="D1" s="103"/>
      <c r="E1" s="103"/>
      <c r="F1" s="103"/>
      <c r="G1" s="103"/>
      <c r="H1" s="103"/>
      <c r="I1" s="17"/>
      <c r="J1" s="70"/>
      <c r="K1" s="17"/>
    </row>
    <row r="2" spans="1:21" ht="18.75" customHeight="1" x14ac:dyDescent="0.2">
      <c r="B2" s="103" t="s">
        <v>44</v>
      </c>
      <c r="C2" s="103"/>
      <c r="D2" s="103"/>
      <c r="E2" s="103"/>
      <c r="F2" s="103"/>
      <c r="G2" s="103"/>
      <c r="H2" s="103"/>
      <c r="I2" s="17"/>
      <c r="J2" s="70"/>
      <c r="K2" s="17"/>
    </row>
    <row r="3" spans="1:21" ht="18.75" customHeight="1" x14ac:dyDescent="0.2">
      <c r="B3" s="17"/>
      <c r="C3" s="17"/>
      <c r="D3" s="17"/>
      <c r="E3" s="17"/>
      <c r="F3" s="17"/>
      <c r="G3" s="17"/>
      <c r="H3" s="17"/>
      <c r="I3" s="17"/>
      <c r="J3" s="70"/>
      <c r="K3" s="17"/>
    </row>
    <row r="4" spans="1:21" ht="131.25" customHeight="1" x14ac:dyDescent="0.2">
      <c r="A4" s="1"/>
      <c r="B4" s="106" t="s">
        <v>185</v>
      </c>
      <c r="C4" s="106"/>
      <c r="D4" s="106"/>
      <c r="E4" s="106"/>
      <c r="F4" s="106"/>
      <c r="G4" s="106"/>
      <c r="H4" s="106"/>
      <c r="I4" s="106"/>
      <c r="J4" s="106"/>
      <c r="K4" s="106"/>
      <c r="L4" s="6"/>
      <c r="M4" s="2"/>
      <c r="N4" s="2"/>
      <c r="O4" s="60"/>
      <c r="P4" s="3"/>
      <c r="Q4" s="3"/>
      <c r="R4" s="4"/>
      <c r="S4" s="5"/>
      <c r="T4" s="5"/>
      <c r="U4" s="5"/>
    </row>
    <row r="5" spans="1:21" ht="39.75" customHeight="1" x14ac:dyDescent="0.2">
      <c r="A5" s="18"/>
      <c r="B5" s="19"/>
      <c r="C5" s="19"/>
      <c r="D5" s="19" t="s">
        <v>1</v>
      </c>
      <c r="E5" s="19" t="s">
        <v>186</v>
      </c>
      <c r="F5" s="19" t="s">
        <v>2</v>
      </c>
      <c r="G5" s="19" t="s">
        <v>177</v>
      </c>
      <c r="H5" s="19"/>
      <c r="I5" s="19"/>
      <c r="J5" s="68"/>
      <c r="K5" s="19"/>
    </row>
    <row r="6" spans="1:21" s="8" customFormat="1" ht="18.75" customHeight="1" x14ac:dyDescent="0.2">
      <c r="A6" s="16"/>
      <c r="B6" s="20">
        <v>2007</v>
      </c>
      <c r="C6" s="21"/>
      <c r="D6" s="20">
        <v>9</v>
      </c>
      <c r="E6" s="20">
        <v>11</v>
      </c>
      <c r="F6" s="22">
        <v>154118</v>
      </c>
      <c r="G6" s="23"/>
      <c r="H6" s="25"/>
      <c r="I6" s="25"/>
      <c r="J6" s="25"/>
      <c r="K6" s="25"/>
      <c r="L6" s="16"/>
    </row>
    <row r="7" spans="1:21" s="8" customFormat="1" ht="18.75" customHeight="1" x14ac:dyDescent="0.2">
      <c r="A7" s="16"/>
      <c r="B7" s="20">
        <v>2008</v>
      </c>
      <c r="C7" s="21"/>
      <c r="D7" s="20">
        <v>44</v>
      </c>
      <c r="E7" s="20">
        <v>45</v>
      </c>
      <c r="F7" s="22">
        <v>333446</v>
      </c>
      <c r="G7" s="22">
        <v>3728</v>
      </c>
      <c r="H7" s="25"/>
      <c r="I7" s="25"/>
      <c r="J7" s="25"/>
      <c r="K7" s="25"/>
      <c r="L7" s="16"/>
    </row>
    <row r="8" spans="1:21" s="8" customFormat="1" ht="18.75" customHeight="1" x14ac:dyDescent="0.2">
      <c r="A8" s="16"/>
      <c r="B8" s="20">
        <v>2009</v>
      </c>
      <c r="C8" s="20"/>
      <c r="D8" s="20">
        <v>56</v>
      </c>
      <c r="E8" s="20">
        <v>58</v>
      </c>
      <c r="F8" s="22">
        <v>319410</v>
      </c>
      <c r="G8" s="23"/>
      <c r="H8" s="25"/>
      <c r="I8" s="25"/>
      <c r="J8" s="25"/>
      <c r="K8" s="25"/>
      <c r="L8" s="16"/>
    </row>
    <row r="9" spans="1:21" s="8" customFormat="1" ht="18.75" customHeight="1" x14ac:dyDescent="0.2">
      <c r="A9" s="16"/>
      <c r="B9" s="20">
        <v>2010</v>
      </c>
      <c r="C9" s="20"/>
      <c r="D9" s="20">
        <v>111</v>
      </c>
      <c r="E9" s="20">
        <v>117</v>
      </c>
      <c r="F9" s="32">
        <v>719142</v>
      </c>
      <c r="G9" s="23"/>
      <c r="H9" s="25"/>
      <c r="I9" s="25"/>
      <c r="J9" s="25"/>
      <c r="K9" s="25"/>
      <c r="L9" s="16"/>
    </row>
    <row r="10" spans="1:21" s="8" customFormat="1" ht="18.75" customHeight="1" x14ac:dyDescent="0.2">
      <c r="A10" s="16"/>
      <c r="B10" s="20">
        <v>2011</v>
      </c>
      <c r="C10" s="20"/>
      <c r="D10" s="20">
        <v>50</v>
      </c>
      <c r="E10" s="20">
        <v>66</v>
      </c>
      <c r="F10" s="22">
        <f>G93</f>
        <v>481155.58816802717</v>
      </c>
      <c r="G10" s="23"/>
      <c r="H10" s="25"/>
      <c r="I10" s="25"/>
      <c r="J10" s="25"/>
      <c r="K10" s="25"/>
      <c r="L10" s="16"/>
    </row>
    <row r="11" spans="1:21" s="7" customFormat="1" ht="25.5" customHeight="1" x14ac:dyDescent="0.2">
      <c r="A11" s="26"/>
      <c r="B11" s="107" t="s">
        <v>45</v>
      </c>
      <c r="C11" s="107"/>
      <c r="D11" s="27">
        <f>SUM(D6:D10)</f>
        <v>270</v>
      </c>
      <c r="E11" s="27">
        <f>SUM(E6:E10)</f>
        <v>297</v>
      </c>
      <c r="F11" s="28">
        <f>SUM(F6:F10)</f>
        <v>2007271.5881680271</v>
      </c>
      <c r="G11" s="28">
        <f>SUM(G6:G9)</f>
        <v>3728</v>
      </c>
      <c r="H11" s="30"/>
      <c r="I11" s="30"/>
      <c r="J11" s="30"/>
      <c r="K11" s="30"/>
      <c r="L11" s="26"/>
    </row>
    <row r="12" spans="1:21" s="7" customFormat="1" ht="25.5" customHeight="1" x14ac:dyDescent="0.2">
      <c r="A12" s="26"/>
      <c r="B12" s="100" t="s">
        <v>183</v>
      </c>
      <c r="C12" s="100"/>
      <c r="D12" s="31">
        <v>21</v>
      </c>
      <c r="E12" s="31">
        <v>21</v>
      </c>
      <c r="F12" s="32">
        <v>94981</v>
      </c>
      <c r="G12" s="29"/>
      <c r="H12" s="30"/>
      <c r="I12" s="30"/>
      <c r="J12" s="30"/>
      <c r="K12" s="30"/>
      <c r="L12" s="26"/>
    </row>
    <row r="13" spans="1:21" s="7" customFormat="1" ht="26.25" customHeight="1" x14ac:dyDescent="0.2">
      <c r="A13" s="26"/>
      <c r="B13" s="100" t="s">
        <v>180</v>
      </c>
      <c r="C13" s="100"/>
      <c r="D13" s="31">
        <v>9</v>
      </c>
      <c r="E13" s="31">
        <v>9</v>
      </c>
      <c r="F13" s="32">
        <v>27849</v>
      </c>
      <c r="G13" s="29"/>
      <c r="H13" s="30"/>
      <c r="I13" s="30"/>
      <c r="J13" s="30"/>
      <c r="K13" s="30"/>
      <c r="L13" s="26"/>
    </row>
    <row r="14" spans="1:21" s="7" customFormat="1" ht="25.5" customHeight="1" x14ac:dyDescent="0.2">
      <c r="A14" s="26"/>
      <c r="B14" s="100" t="s">
        <v>181</v>
      </c>
      <c r="C14" s="100"/>
      <c r="D14" s="31">
        <v>20</v>
      </c>
      <c r="E14" s="31">
        <v>21</v>
      </c>
      <c r="F14" s="32">
        <v>51541</v>
      </c>
      <c r="G14" s="29"/>
      <c r="H14" s="30"/>
      <c r="I14" s="30"/>
      <c r="J14" s="30"/>
      <c r="K14" s="30"/>
      <c r="L14" s="26"/>
    </row>
    <row r="15" spans="1:21" s="8" customFormat="1" ht="50.25" customHeight="1" x14ac:dyDescent="0.2">
      <c r="A15" s="16"/>
      <c r="B15" s="104" t="s">
        <v>206</v>
      </c>
      <c r="C15" s="104"/>
      <c r="D15" s="20">
        <v>20</v>
      </c>
      <c r="E15" s="22">
        <v>20</v>
      </c>
      <c r="F15" s="17"/>
      <c r="G15" s="24"/>
      <c r="H15" s="25"/>
      <c r="I15" s="25"/>
      <c r="J15" s="25"/>
      <c r="K15" s="25"/>
      <c r="L15" s="16"/>
    </row>
    <row r="16" spans="1:21" s="8" customFormat="1" ht="24.75" customHeight="1" x14ac:dyDescent="0.2">
      <c r="A16" s="16"/>
      <c r="B16" s="100" t="s">
        <v>182</v>
      </c>
      <c r="C16" s="100"/>
      <c r="D16" s="20">
        <v>4</v>
      </c>
      <c r="E16" s="22">
        <v>4</v>
      </c>
      <c r="F16" s="23">
        <v>32699</v>
      </c>
      <c r="G16" s="24"/>
      <c r="H16" s="25"/>
      <c r="I16" s="25"/>
      <c r="J16" s="25"/>
      <c r="K16" s="25"/>
      <c r="L16" s="16"/>
    </row>
    <row r="17" spans="1:30" s="8" customFormat="1" ht="40.5" customHeight="1" x14ac:dyDescent="0.2">
      <c r="A17" s="33"/>
      <c r="B17" s="105" t="s">
        <v>48</v>
      </c>
      <c r="C17" s="105"/>
      <c r="D17" s="19">
        <f>SUM(D11:D16)</f>
        <v>344</v>
      </c>
      <c r="E17" s="34">
        <f>SUM(E11:E16)</f>
        <v>372</v>
      </c>
      <c r="F17" s="34">
        <f>SUM(F11:F16)</f>
        <v>2214341.5881680269</v>
      </c>
      <c r="G17" s="58"/>
      <c r="H17" s="59"/>
      <c r="I17" s="59"/>
      <c r="J17" s="59"/>
      <c r="K17" s="59"/>
      <c r="L17" s="16"/>
    </row>
    <row r="18" spans="1:30" s="8" customFormat="1" ht="86.25" customHeight="1" x14ac:dyDescent="0.2">
      <c r="A18" s="26"/>
      <c r="B18" s="31" t="s">
        <v>46</v>
      </c>
      <c r="C18" s="31"/>
      <c r="D18" s="31">
        <f>13</f>
        <v>13</v>
      </c>
      <c r="E18" s="22">
        <v>13</v>
      </c>
      <c r="F18" s="32">
        <v>78500</v>
      </c>
      <c r="G18" s="100" t="s">
        <v>47</v>
      </c>
      <c r="H18" s="100"/>
      <c r="I18" s="108"/>
      <c r="J18" s="69"/>
      <c r="K18" s="31"/>
      <c r="L18" s="16"/>
    </row>
    <row r="19" spans="1:30" s="8" customFormat="1" ht="26.25" customHeight="1" x14ac:dyDescent="0.2">
      <c r="A19" s="26"/>
      <c r="B19" s="27" t="s">
        <v>178</v>
      </c>
      <c r="C19" s="27"/>
      <c r="D19" s="27">
        <f>D18+D17</f>
        <v>357</v>
      </c>
      <c r="E19" s="28">
        <f>SUM(E17+E18)</f>
        <v>385</v>
      </c>
      <c r="F19" s="64"/>
      <c r="G19" s="64"/>
      <c r="H19" s="64"/>
      <c r="I19" s="64"/>
      <c r="J19" s="64"/>
      <c r="K19" s="64"/>
      <c r="L19" s="16"/>
    </row>
    <row r="20" spans="1:30" ht="18.75" customHeight="1" x14ac:dyDescent="0.2">
      <c r="B20" s="17"/>
      <c r="C20" s="17"/>
      <c r="D20" s="17"/>
      <c r="E20" s="17"/>
      <c r="F20" s="17"/>
      <c r="G20" s="17"/>
      <c r="H20" s="17"/>
      <c r="I20" s="17"/>
      <c r="J20" s="70"/>
      <c r="K20" s="17"/>
    </row>
    <row r="21" spans="1:30" ht="78" customHeight="1" x14ac:dyDescent="0.2">
      <c r="A21" s="35"/>
      <c r="B21" s="36" t="s">
        <v>3</v>
      </c>
      <c r="C21" s="37" t="s">
        <v>4</v>
      </c>
      <c r="D21" s="37" t="s">
        <v>5</v>
      </c>
      <c r="E21" s="37" t="s">
        <v>6</v>
      </c>
      <c r="F21" s="37" t="s">
        <v>7</v>
      </c>
      <c r="G21" s="38" t="s">
        <v>8</v>
      </c>
      <c r="H21" s="39" t="s">
        <v>187</v>
      </c>
      <c r="I21" s="66" t="s">
        <v>184</v>
      </c>
      <c r="J21" s="66" t="s">
        <v>188</v>
      </c>
      <c r="K21" s="66" t="s">
        <v>179</v>
      </c>
      <c r="L21" s="101" t="s">
        <v>49</v>
      </c>
      <c r="M21" s="101" t="s">
        <v>50</v>
      </c>
    </row>
    <row r="22" spans="1:30" s="9" customFormat="1" ht="23.25" customHeight="1" x14ac:dyDescent="0.2">
      <c r="A22" s="40"/>
      <c r="B22" s="19">
        <v>2011</v>
      </c>
      <c r="C22" s="41"/>
      <c r="D22" s="41"/>
      <c r="E22" s="41"/>
      <c r="F22" s="41"/>
      <c r="G22" s="41"/>
      <c r="H22" s="42"/>
      <c r="I22" s="42"/>
      <c r="J22" s="42"/>
      <c r="K22" s="42"/>
      <c r="L22" s="101"/>
      <c r="M22" s="101"/>
    </row>
    <row r="23" spans="1:30" s="9" customFormat="1" ht="23.25" customHeight="1" x14ac:dyDescent="0.2">
      <c r="A23" s="40"/>
      <c r="B23" s="19"/>
      <c r="C23" s="41"/>
      <c r="D23" s="41"/>
      <c r="E23" s="41"/>
      <c r="F23" s="41"/>
      <c r="G23" s="41"/>
      <c r="H23" s="42"/>
      <c r="I23" s="42"/>
      <c r="J23" s="42"/>
      <c r="K23" s="42"/>
      <c r="L23" s="101"/>
      <c r="M23" s="101"/>
    </row>
    <row r="24" spans="1:30" s="71" customFormat="1" ht="43.5" customHeight="1" x14ac:dyDescent="0.2">
      <c r="A24" s="80"/>
      <c r="B24" s="81" t="s">
        <v>12</v>
      </c>
      <c r="C24" s="82">
        <v>1991</v>
      </c>
      <c r="D24" s="80" t="s">
        <v>13</v>
      </c>
      <c r="E24" s="83">
        <v>2010</v>
      </c>
      <c r="F24" s="80" t="s">
        <v>41</v>
      </c>
      <c r="G24" s="84">
        <v>19000</v>
      </c>
      <c r="H24" s="81"/>
      <c r="I24" s="81">
        <v>147</v>
      </c>
      <c r="J24" s="81"/>
      <c r="K24" s="85">
        <f>G24*I24</f>
        <v>2793000</v>
      </c>
      <c r="L24" s="86">
        <v>1</v>
      </c>
      <c r="M24" s="87">
        <v>314</v>
      </c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</row>
    <row r="25" spans="1:30" s="71" customFormat="1" ht="59.25" customHeight="1" x14ac:dyDescent="0.2">
      <c r="A25" s="80"/>
      <c r="B25" s="81" t="s">
        <v>51</v>
      </c>
      <c r="C25" s="82" t="s">
        <v>31</v>
      </c>
      <c r="D25" s="80" t="s">
        <v>52</v>
      </c>
      <c r="E25" s="83">
        <v>2010</v>
      </c>
      <c r="F25" s="80" t="s">
        <v>41</v>
      </c>
      <c r="G25" s="84">
        <v>7382</v>
      </c>
      <c r="H25" s="81"/>
      <c r="I25" s="81">
        <v>147</v>
      </c>
      <c r="J25" s="81"/>
      <c r="K25" s="85">
        <f>7382*I25</f>
        <v>1085154</v>
      </c>
      <c r="L25" s="88">
        <v>2</v>
      </c>
      <c r="M25" s="87">
        <v>315</v>
      </c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</row>
    <row r="26" spans="1:30" s="71" customFormat="1" ht="44.25" customHeight="1" x14ac:dyDescent="0.2">
      <c r="A26" s="80">
        <v>302</v>
      </c>
      <c r="B26" s="81" t="s">
        <v>201</v>
      </c>
      <c r="C26" s="82" t="s">
        <v>11</v>
      </c>
      <c r="D26" s="80" t="s">
        <v>17</v>
      </c>
      <c r="E26" s="83">
        <v>2010</v>
      </c>
      <c r="F26" s="80" t="s">
        <v>20</v>
      </c>
      <c r="G26" s="84">
        <f>K26/I26</f>
        <v>5786.8571428571431</v>
      </c>
      <c r="H26" s="85" t="s">
        <v>53</v>
      </c>
      <c r="I26" s="81">
        <v>147</v>
      </c>
      <c r="J26" s="81">
        <v>4.92</v>
      </c>
      <c r="K26" s="85">
        <f>172900*J26</f>
        <v>850668</v>
      </c>
      <c r="L26" s="88">
        <v>3</v>
      </c>
      <c r="M26" s="87">
        <v>316</v>
      </c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</row>
    <row r="27" spans="1:30" s="71" customFormat="1" ht="42.75" customHeight="1" x14ac:dyDescent="0.2">
      <c r="A27" s="80">
        <v>303</v>
      </c>
      <c r="B27" s="81" t="s">
        <v>54</v>
      </c>
      <c r="C27" s="82" t="s">
        <v>33</v>
      </c>
      <c r="D27" s="80" t="s">
        <v>17</v>
      </c>
      <c r="E27" s="83">
        <v>2010</v>
      </c>
      <c r="F27" s="80" t="s">
        <v>20</v>
      </c>
      <c r="G27" s="84">
        <f>K27/I27</f>
        <v>7373.3061224489793</v>
      </c>
      <c r="H27" s="85" t="s">
        <v>55</v>
      </c>
      <c r="I27" s="81">
        <v>147</v>
      </c>
      <c r="J27" s="81">
        <v>4.92</v>
      </c>
      <c r="K27" s="85">
        <f>220300*J27</f>
        <v>1083876</v>
      </c>
      <c r="L27" s="86">
        <v>4</v>
      </c>
      <c r="M27" s="87">
        <v>317</v>
      </c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</row>
    <row r="28" spans="1:30" s="71" customFormat="1" ht="48.75" customHeight="1" x14ac:dyDescent="0.2">
      <c r="A28" s="80">
        <v>304</v>
      </c>
      <c r="B28" s="81" t="s">
        <v>21</v>
      </c>
      <c r="C28" s="82" t="s">
        <v>31</v>
      </c>
      <c r="D28" s="80" t="s">
        <v>32</v>
      </c>
      <c r="E28" s="83" t="s">
        <v>56</v>
      </c>
      <c r="F28" s="80" t="s">
        <v>14</v>
      </c>
      <c r="G28" s="84">
        <f>K28/I28</f>
        <v>1153.5306122448981</v>
      </c>
      <c r="H28" s="85" t="s">
        <v>57</v>
      </c>
      <c r="I28" s="81">
        <v>147</v>
      </c>
      <c r="J28" s="81">
        <v>4.9800000000000004</v>
      </c>
      <c r="K28" s="85">
        <f>34050*J28</f>
        <v>169569</v>
      </c>
      <c r="L28" s="88">
        <v>5</v>
      </c>
      <c r="M28" s="87">
        <v>318</v>
      </c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</row>
    <row r="29" spans="1:30" s="71" customFormat="1" ht="44.25" customHeight="1" x14ac:dyDescent="0.2">
      <c r="A29" s="80">
        <v>305</v>
      </c>
      <c r="B29" s="81" t="s">
        <v>58</v>
      </c>
      <c r="C29" s="82" t="s">
        <v>11</v>
      </c>
      <c r="D29" s="80" t="s">
        <v>17</v>
      </c>
      <c r="E29" s="83">
        <v>2011</v>
      </c>
      <c r="F29" s="80" t="s">
        <v>20</v>
      </c>
      <c r="G29" s="84">
        <f>K29/I29</f>
        <v>6697.6530612244896</v>
      </c>
      <c r="H29" s="85" t="s">
        <v>59</v>
      </c>
      <c r="I29" s="81">
        <v>147</v>
      </c>
      <c r="J29" s="81">
        <v>4.95</v>
      </c>
      <c r="K29" s="85">
        <f>198900*J29</f>
        <v>984555</v>
      </c>
      <c r="L29" s="86">
        <v>6</v>
      </c>
      <c r="M29" s="87">
        <v>319</v>
      </c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</row>
    <row r="30" spans="1:30" s="75" customFormat="1" ht="42.75" customHeight="1" x14ac:dyDescent="0.2">
      <c r="A30" s="80">
        <v>306</v>
      </c>
      <c r="B30" s="81" t="s">
        <v>38</v>
      </c>
      <c r="C30" s="82" t="s">
        <v>11</v>
      </c>
      <c r="D30" s="80" t="s">
        <v>39</v>
      </c>
      <c r="E30" s="83">
        <v>2011</v>
      </c>
      <c r="F30" s="80" t="s">
        <v>60</v>
      </c>
      <c r="G30" s="84">
        <f>K30/I30</f>
        <v>2008.0952380952381</v>
      </c>
      <c r="H30" s="81" t="s">
        <v>200</v>
      </c>
      <c r="I30" s="81">
        <v>147</v>
      </c>
      <c r="J30" s="81">
        <v>5</v>
      </c>
      <c r="K30" s="85">
        <f>59038*J30</f>
        <v>295190</v>
      </c>
      <c r="L30" s="88">
        <v>7</v>
      </c>
      <c r="M30" s="87">
        <v>320</v>
      </c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</row>
    <row r="31" spans="1:30" s="71" customFormat="1" ht="44.25" customHeight="1" x14ac:dyDescent="0.2">
      <c r="A31" s="80">
        <v>307</v>
      </c>
      <c r="B31" s="81" t="s">
        <v>40</v>
      </c>
      <c r="C31" s="83">
        <v>2011</v>
      </c>
      <c r="D31" s="80" t="s">
        <v>17</v>
      </c>
      <c r="E31" s="83">
        <v>2011</v>
      </c>
      <c r="F31" s="80" t="s">
        <v>41</v>
      </c>
      <c r="G31" s="84">
        <v>9500</v>
      </c>
      <c r="H31" s="85"/>
      <c r="I31" s="81">
        <v>147</v>
      </c>
      <c r="J31" s="81"/>
      <c r="K31" s="85">
        <f t="shared" ref="K31:K77" si="0">G31*I31</f>
        <v>1396500</v>
      </c>
      <c r="L31" s="88">
        <v>8</v>
      </c>
      <c r="M31" s="87">
        <v>321</v>
      </c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</row>
    <row r="32" spans="1:30" s="71" customFormat="1" ht="58.5" customHeight="1" x14ac:dyDescent="0.2">
      <c r="A32" s="80">
        <v>308</v>
      </c>
      <c r="B32" s="81" t="s">
        <v>61</v>
      </c>
      <c r="C32" s="83">
        <v>2007</v>
      </c>
      <c r="D32" s="80" t="s">
        <v>17</v>
      </c>
      <c r="E32" s="83" t="s">
        <v>62</v>
      </c>
      <c r="F32" s="80" t="s">
        <v>20</v>
      </c>
      <c r="G32" s="84">
        <f t="shared" ref="G32:G37" si="1">K32/I32</f>
        <v>468.44897959183675</v>
      </c>
      <c r="H32" s="81" t="s">
        <v>63</v>
      </c>
      <c r="I32" s="81">
        <v>147</v>
      </c>
      <c r="J32" s="81">
        <v>4.99</v>
      </c>
      <c r="K32" s="85">
        <f>13800*J32</f>
        <v>68862</v>
      </c>
      <c r="L32" s="86"/>
      <c r="M32" s="87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</row>
    <row r="33" spans="1:30" s="71" customFormat="1" ht="59.25" customHeight="1" x14ac:dyDescent="0.2">
      <c r="A33" s="80">
        <v>309</v>
      </c>
      <c r="B33" s="81" t="s">
        <v>64</v>
      </c>
      <c r="C33" s="83">
        <v>2006</v>
      </c>
      <c r="D33" s="80" t="s">
        <v>17</v>
      </c>
      <c r="E33" s="83" t="s">
        <v>62</v>
      </c>
      <c r="F33" s="80" t="s">
        <v>20</v>
      </c>
      <c r="G33" s="84">
        <f t="shared" si="1"/>
        <v>472.78911564625849</v>
      </c>
      <c r="H33" s="81" t="s">
        <v>65</v>
      </c>
      <c r="I33" s="81">
        <v>147</v>
      </c>
      <c r="J33" s="81">
        <v>5</v>
      </c>
      <c r="K33" s="85">
        <f>13900*J33</f>
        <v>69500</v>
      </c>
      <c r="L33" s="88"/>
      <c r="M33" s="87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</row>
    <row r="34" spans="1:30" s="71" customFormat="1" ht="43.5" customHeight="1" x14ac:dyDescent="0.2">
      <c r="A34" s="89">
        <v>310</v>
      </c>
      <c r="B34" s="80" t="s">
        <v>66</v>
      </c>
      <c r="C34" s="80">
        <v>2010</v>
      </c>
      <c r="D34" s="80" t="s">
        <v>17</v>
      </c>
      <c r="E34" s="80">
        <v>2011</v>
      </c>
      <c r="F34" s="80" t="s">
        <v>20</v>
      </c>
      <c r="G34" s="84">
        <f t="shared" si="1"/>
        <v>6107.4285714285716</v>
      </c>
      <c r="H34" s="81" t="s">
        <v>67</v>
      </c>
      <c r="I34" s="81">
        <v>147</v>
      </c>
      <c r="J34" s="81">
        <v>5.01</v>
      </c>
      <c r="K34" s="85">
        <f>179200*J34</f>
        <v>897792</v>
      </c>
      <c r="L34" s="86">
        <v>9</v>
      </c>
      <c r="M34" s="87">
        <v>322</v>
      </c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</row>
    <row r="35" spans="1:30" s="71" customFormat="1" ht="45" customHeight="1" x14ac:dyDescent="0.2">
      <c r="A35" s="89">
        <v>311</v>
      </c>
      <c r="B35" s="80" t="s">
        <v>37</v>
      </c>
      <c r="C35" s="80"/>
      <c r="D35" s="80" t="s">
        <v>17</v>
      </c>
      <c r="E35" s="80">
        <v>2011</v>
      </c>
      <c r="F35" s="80" t="s">
        <v>20</v>
      </c>
      <c r="G35" s="84">
        <f t="shared" si="1"/>
        <v>64.496598639455783</v>
      </c>
      <c r="H35" s="81" t="s">
        <v>68</v>
      </c>
      <c r="I35" s="81">
        <v>147</v>
      </c>
      <c r="J35" s="81">
        <v>4.99</v>
      </c>
      <c r="K35" s="85">
        <f>1900*J35</f>
        <v>9481</v>
      </c>
      <c r="L35" s="88">
        <v>10</v>
      </c>
      <c r="M35" s="87">
        <v>323</v>
      </c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</row>
    <row r="36" spans="1:30" s="71" customFormat="1" ht="72.75" customHeight="1" x14ac:dyDescent="0.2">
      <c r="A36" s="89"/>
      <c r="B36" s="80" t="s">
        <v>21</v>
      </c>
      <c r="C36" s="83">
        <v>2003</v>
      </c>
      <c r="D36" s="80" t="s">
        <v>32</v>
      </c>
      <c r="E36" s="80" t="s">
        <v>69</v>
      </c>
      <c r="F36" s="80" t="s">
        <v>14</v>
      </c>
      <c r="G36" s="84">
        <f t="shared" si="1"/>
        <v>212.75102040816327</v>
      </c>
      <c r="H36" s="81" t="s">
        <v>70</v>
      </c>
      <c r="I36" s="81">
        <v>147</v>
      </c>
      <c r="J36" s="81">
        <v>4.9800000000000004</v>
      </c>
      <c r="K36" s="85">
        <f>6280*J36</f>
        <v>31274.400000000001</v>
      </c>
      <c r="L36" s="88">
        <v>11</v>
      </c>
      <c r="M36" s="87">
        <v>324</v>
      </c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</row>
    <row r="37" spans="1:30" s="71" customFormat="1" ht="73.5" customHeight="1" x14ac:dyDescent="0.2">
      <c r="A37" s="89">
        <v>312</v>
      </c>
      <c r="B37" s="80" t="s">
        <v>71</v>
      </c>
      <c r="C37" s="83">
        <v>2008</v>
      </c>
      <c r="D37" s="80" t="s">
        <v>34</v>
      </c>
      <c r="E37" s="80">
        <v>2011</v>
      </c>
      <c r="F37" s="80" t="s">
        <v>14</v>
      </c>
      <c r="G37" s="84">
        <f t="shared" si="1"/>
        <v>4748.4680272108835</v>
      </c>
      <c r="H37" s="81" t="s">
        <v>72</v>
      </c>
      <c r="I37" s="81">
        <v>147</v>
      </c>
      <c r="J37" s="81">
        <v>4.84</v>
      </c>
      <c r="K37" s="85">
        <f>144220*J37</f>
        <v>698024.79999999993</v>
      </c>
      <c r="L37" s="86">
        <v>12</v>
      </c>
      <c r="M37" s="87">
        <v>325</v>
      </c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</row>
    <row r="38" spans="1:30" s="71" customFormat="1" ht="48.75" customHeight="1" x14ac:dyDescent="0.2">
      <c r="A38" s="89"/>
      <c r="B38" s="81" t="s">
        <v>12</v>
      </c>
      <c r="C38" s="83">
        <v>1991</v>
      </c>
      <c r="D38" s="80" t="s">
        <v>73</v>
      </c>
      <c r="E38" s="80" t="s">
        <v>74</v>
      </c>
      <c r="F38" s="80" t="s">
        <v>41</v>
      </c>
      <c r="G38" s="84">
        <v>9500</v>
      </c>
      <c r="H38" s="81"/>
      <c r="I38" s="81">
        <v>147</v>
      </c>
      <c r="J38" s="81"/>
      <c r="K38" s="85">
        <f t="shared" si="0"/>
        <v>1396500</v>
      </c>
      <c r="L38" s="88">
        <v>13</v>
      </c>
      <c r="M38" s="87">
        <v>326</v>
      </c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</row>
    <row r="39" spans="1:30" s="71" customFormat="1" ht="51" customHeight="1" x14ac:dyDescent="0.2">
      <c r="A39" s="89">
        <v>313</v>
      </c>
      <c r="B39" s="80" t="s">
        <v>75</v>
      </c>
      <c r="C39" s="83">
        <v>2009</v>
      </c>
      <c r="D39" s="80" t="s">
        <v>17</v>
      </c>
      <c r="E39" s="80">
        <v>2011</v>
      </c>
      <c r="F39" s="80" t="s">
        <v>20</v>
      </c>
      <c r="G39" s="84">
        <f t="shared" ref="G39:G51" si="2">K39/I39</f>
        <v>519.74489795918362</v>
      </c>
      <c r="H39" s="81" t="s">
        <v>199</v>
      </c>
      <c r="I39" s="81">
        <v>147</v>
      </c>
      <c r="J39" s="81">
        <v>5.01</v>
      </c>
      <c r="K39" s="85">
        <f>15250*J39</f>
        <v>76402.5</v>
      </c>
      <c r="L39" s="86">
        <v>14</v>
      </c>
      <c r="M39" s="87">
        <v>327</v>
      </c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</row>
    <row r="40" spans="1:30" s="71" customFormat="1" ht="58.5" customHeight="1" x14ac:dyDescent="0.2">
      <c r="A40" s="89">
        <v>314</v>
      </c>
      <c r="B40" s="80" t="s">
        <v>76</v>
      </c>
      <c r="C40" s="83">
        <v>1996</v>
      </c>
      <c r="D40" s="80" t="s">
        <v>77</v>
      </c>
      <c r="E40" s="80">
        <v>2011</v>
      </c>
      <c r="F40" s="80" t="s">
        <v>25</v>
      </c>
      <c r="G40" s="84">
        <f t="shared" si="2"/>
        <v>3485.6326530612246</v>
      </c>
      <c r="H40" s="81" t="s">
        <v>78</v>
      </c>
      <c r="I40" s="81">
        <v>147</v>
      </c>
      <c r="J40" s="81">
        <v>5.16</v>
      </c>
      <c r="K40" s="85">
        <f>99300*J40</f>
        <v>512388</v>
      </c>
      <c r="L40" s="88">
        <v>15</v>
      </c>
      <c r="M40" s="87">
        <v>328</v>
      </c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</row>
    <row r="41" spans="1:30" s="71" customFormat="1" ht="57.75" customHeight="1" x14ac:dyDescent="0.2">
      <c r="A41" s="89"/>
      <c r="B41" s="80" t="s">
        <v>23</v>
      </c>
      <c r="C41" s="80">
        <v>2005</v>
      </c>
      <c r="D41" s="80" t="s">
        <v>24</v>
      </c>
      <c r="E41" s="80" t="s">
        <v>74</v>
      </c>
      <c r="F41" s="80" t="s">
        <v>25</v>
      </c>
      <c r="G41" s="84">
        <f t="shared" si="2"/>
        <v>7747.4693877551017</v>
      </c>
      <c r="H41" s="81" t="s">
        <v>79</v>
      </c>
      <c r="I41" s="81">
        <v>147</v>
      </c>
      <c r="J41" s="81">
        <v>4.71</v>
      </c>
      <c r="K41" s="85">
        <f>241800*J41</f>
        <v>1138878</v>
      </c>
      <c r="L41" s="88">
        <v>16</v>
      </c>
      <c r="M41" s="87">
        <v>329</v>
      </c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</row>
    <row r="42" spans="1:30" s="71" customFormat="1" ht="57.75" customHeight="1" x14ac:dyDescent="0.2">
      <c r="A42" s="89">
        <v>315</v>
      </c>
      <c r="B42" s="80" t="s">
        <v>80</v>
      </c>
      <c r="C42" s="80">
        <v>2010</v>
      </c>
      <c r="D42" s="80" t="s">
        <v>17</v>
      </c>
      <c r="E42" s="80">
        <v>2011</v>
      </c>
      <c r="F42" s="80" t="s">
        <v>20</v>
      </c>
      <c r="G42" s="84">
        <f t="shared" si="2"/>
        <v>6794.0680272108848</v>
      </c>
      <c r="H42" s="81" t="s">
        <v>81</v>
      </c>
      <c r="I42" s="81">
        <v>147</v>
      </c>
      <c r="J42" s="81">
        <v>5.08</v>
      </c>
      <c r="K42" s="85">
        <f>196600*J42</f>
        <v>998728</v>
      </c>
      <c r="L42" s="86">
        <v>17</v>
      </c>
      <c r="M42" s="87">
        <v>330</v>
      </c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</row>
    <row r="43" spans="1:30" s="71" customFormat="1" ht="57.75" customHeight="1" x14ac:dyDescent="0.2">
      <c r="A43" s="89">
        <v>316</v>
      </c>
      <c r="B43" s="80" t="s">
        <v>82</v>
      </c>
      <c r="C43" s="80">
        <v>2010</v>
      </c>
      <c r="D43" s="80" t="s">
        <v>17</v>
      </c>
      <c r="E43" s="80">
        <v>2011</v>
      </c>
      <c r="F43" s="80" t="s">
        <v>20</v>
      </c>
      <c r="G43" s="84">
        <f t="shared" si="2"/>
        <v>6310.2585034013609</v>
      </c>
      <c r="H43" s="81" t="s">
        <v>83</v>
      </c>
      <c r="I43" s="81">
        <v>147</v>
      </c>
      <c r="J43" s="81">
        <v>5.08</v>
      </c>
      <c r="K43" s="85">
        <f>182600*J43</f>
        <v>927608</v>
      </c>
      <c r="L43" s="88">
        <v>18</v>
      </c>
      <c r="M43" s="87">
        <v>331</v>
      </c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</row>
    <row r="44" spans="1:30" s="71" customFormat="1" ht="57.75" customHeight="1" x14ac:dyDescent="0.2">
      <c r="A44" s="89">
        <v>317</v>
      </c>
      <c r="B44" s="80" t="s">
        <v>84</v>
      </c>
      <c r="C44" s="80">
        <v>2010</v>
      </c>
      <c r="D44" s="80" t="s">
        <v>17</v>
      </c>
      <c r="E44" s="80">
        <v>2011</v>
      </c>
      <c r="F44" s="80" t="s">
        <v>20</v>
      </c>
      <c r="G44" s="84">
        <f t="shared" si="2"/>
        <v>7212.8571428571431</v>
      </c>
      <c r="H44" s="81" t="s">
        <v>85</v>
      </c>
      <c r="I44" s="81">
        <v>147</v>
      </c>
      <c r="J44" s="81">
        <v>5.0999999999999996</v>
      </c>
      <c r="K44" s="85">
        <f>207900*J44</f>
        <v>1060290</v>
      </c>
      <c r="L44" s="86">
        <v>19</v>
      </c>
      <c r="M44" s="87">
        <v>332</v>
      </c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</row>
    <row r="45" spans="1:30" s="71" customFormat="1" ht="57.75" customHeight="1" x14ac:dyDescent="0.2">
      <c r="A45" s="89">
        <v>318</v>
      </c>
      <c r="B45" s="90" t="s">
        <v>86</v>
      </c>
      <c r="C45" s="80">
        <v>2007</v>
      </c>
      <c r="D45" s="80" t="s">
        <v>17</v>
      </c>
      <c r="E45" s="80">
        <v>2011</v>
      </c>
      <c r="F45" s="80" t="s">
        <v>20</v>
      </c>
      <c r="G45" s="84">
        <f t="shared" si="2"/>
        <v>10129.224489795919</v>
      </c>
      <c r="H45" s="81" t="s">
        <v>87</v>
      </c>
      <c r="I45" s="81">
        <v>147</v>
      </c>
      <c r="J45" s="81">
        <v>5.0999999999999996</v>
      </c>
      <c r="K45" s="85">
        <f>291960*J45</f>
        <v>1488996</v>
      </c>
      <c r="L45" s="88">
        <v>20</v>
      </c>
      <c r="M45" s="87">
        <v>333</v>
      </c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</row>
    <row r="46" spans="1:30" s="72" customFormat="1" ht="38.25" customHeight="1" x14ac:dyDescent="0.2">
      <c r="A46" s="91">
        <v>319</v>
      </c>
      <c r="B46" s="92" t="s">
        <v>88</v>
      </c>
      <c r="C46" s="93">
        <v>2008</v>
      </c>
      <c r="D46" s="80" t="s">
        <v>17</v>
      </c>
      <c r="E46" s="80">
        <v>2011</v>
      </c>
      <c r="F46" s="80" t="s">
        <v>20</v>
      </c>
      <c r="G46" s="84">
        <f t="shared" si="2"/>
        <v>6741.367346938775</v>
      </c>
      <c r="H46" s="81" t="s">
        <v>89</v>
      </c>
      <c r="I46" s="81">
        <v>147</v>
      </c>
      <c r="J46" s="81">
        <v>5.0999999999999996</v>
      </c>
      <c r="K46" s="85">
        <f>194310*J46</f>
        <v>990980.99999999988</v>
      </c>
      <c r="L46" s="88">
        <v>21</v>
      </c>
      <c r="M46" s="87">
        <v>334</v>
      </c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</row>
    <row r="47" spans="1:30" s="72" customFormat="1" ht="37.5" customHeight="1" x14ac:dyDescent="0.2">
      <c r="A47" s="89">
        <v>320</v>
      </c>
      <c r="B47" s="94" t="s">
        <v>90</v>
      </c>
      <c r="C47" s="80">
        <v>2003</v>
      </c>
      <c r="D47" s="80" t="s">
        <v>17</v>
      </c>
      <c r="E47" s="80">
        <v>2011</v>
      </c>
      <c r="F47" s="80" t="s">
        <v>20</v>
      </c>
      <c r="G47" s="84">
        <f t="shared" si="2"/>
        <v>4388.7755102040819</v>
      </c>
      <c r="H47" s="81" t="s">
        <v>91</v>
      </c>
      <c r="I47" s="81">
        <v>147</v>
      </c>
      <c r="J47" s="81">
        <v>5.0999999999999996</v>
      </c>
      <c r="K47" s="85">
        <f>126500*J47</f>
        <v>645150</v>
      </c>
      <c r="L47" s="86">
        <v>22</v>
      </c>
      <c r="M47" s="87">
        <v>335</v>
      </c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</row>
    <row r="48" spans="1:30" s="72" customFormat="1" ht="48.75" customHeight="1" x14ac:dyDescent="0.2">
      <c r="A48" s="89"/>
      <c r="B48" s="80" t="s">
        <v>76</v>
      </c>
      <c r="C48" s="83">
        <v>1996</v>
      </c>
      <c r="D48" s="80" t="s">
        <v>77</v>
      </c>
      <c r="E48" s="80" t="s">
        <v>74</v>
      </c>
      <c r="F48" s="80" t="s">
        <v>25</v>
      </c>
      <c r="G48" s="84">
        <f t="shared" si="2"/>
        <v>435.05469387755102</v>
      </c>
      <c r="H48" s="81" t="s">
        <v>92</v>
      </c>
      <c r="I48" s="81">
        <v>147</v>
      </c>
      <c r="J48" s="81">
        <v>5.16</v>
      </c>
      <c r="K48" s="85">
        <f>12394*J48</f>
        <v>63953.04</v>
      </c>
      <c r="L48" s="88">
        <v>23</v>
      </c>
      <c r="M48" s="87">
        <v>336</v>
      </c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</row>
    <row r="49" spans="1:30" s="71" customFormat="1" ht="44.25" customHeight="1" x14ac:dyDescent="0.2">
      <c r="A49" s="89">
        <v>321</v>
      </c>
      <c r="B49" s="80" t="s">
        <v>93</v>
      </c>
      <c r="C49" s="80">
        <v>2010</v>
      </c>
      <c r="D49" s="80" t="s">
        <v>17</v>
      </c>
      <c r="E49" s="80">
        <v>2011</v>
      </c>
      <c r="F49" s="80" t="s">
        <v>20</v>
      </c>
      <c r="G49" s="84">
        <f t="shared" si="2"/>
        <v>7175.0204081632655</v>
      </c>
      <c r="H49" s="81" t="s">
        <v>94</v>
      </c>
      <c r="I49" s="81">
        <v>147</v>
      </c>
      <c r="J49" s="81">
        <v>5.13</v>
      </c>
      <c r="K49" s="85">
        <f>205600*J49</f>
        <v>1054728</v>
      </c>
      <c r="L49" s="86">
        <v>24</v>
      </c>
      <c r="M49" s="87">
        <v>337</v>
      </c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</row>
    <row r="50" spans="1:30" s="71" customFormat="1" ht="44.25" customHeight="1" x14ac:dyDescent="0.2">
      <c r="A50" s="89"/>
      <c r="B50" s="80" t="s">
        <v>95</v>
      </c>
      <c r="C50" s="80">
        <v>2010</v>
      </c>
      <c r="D50" s="80" t="s">
        <v>17</v>
      </c>
      <c r="E50" s="80" t="s">
        <v>96</v>
      </c>
      <c r="F50" s="80" t="s">
        <v>20</v>
      </c>
      <c r="G50" s="84">
        <f t="shared" si="2"/>
        <v>16078.489795918367</v>
      </c>
      <c r="H50" s="81" t="s">
        <v>97</v>
      </c>
      <c r="I50" s="81">
        <v>147</v>
      </c>
      <c r="J50" s="81">
        <v>5.16</v>
      </c>
      <c r="K50" s="85">
        <f>458050*J50</f>
        <v>2363538</v>
      </c>
      <c r="L50" s="88">
        <v>25</v>
      </c>
      <c r="M50" s="87">
        <v>338</v>
      </c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</row>
    <row r="51" spans="1:30" s="74" customFormat="1" ht="42.75" customHeight="1" x14ac:dyDescent="0.2">
      <c r="A51" s="89"/>
      <c r="B51" s="80" t="s">
        <v>98</v>
      </c>
      <c r="C51" s="80">
        <v>2009</v>
      </c>
      <c r="D51" s="80" t="s">
        <v>17</v>
      </c>
      <c r="E51" s="80" t="s">
        <v>96</v>
      </c>
      <c r="F51" s="80" t="s">
        <v>20</v>
      </c>
      <c r="G51" s="84">
        <f t="shared" si="2"/>
        <v>15544.052380952378</v>
      </c>
      <c r="H51" s="81" t="s">
        <v>99</v>
      </c>
      <c r="I51" s="81">
        <v>147</v>
      </c>
      <c r="J51" s="81">
        <v>5.18</v>
      </c>
      <c r="K51" s="85">
        <f>441115*J51</f>
        <v>2284975.6999999997</v>
      </c>
      <c r="L51" s="88">
        <v>26</v>
      </c>
      <c r="M51" s="87">
        <v>339</v>
      </c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</row>
    <row r="52" spans="1:30" s="9" customFormat="1" ht="49.5" customHeight="1" x14ac:dyDescent="0.2">
      <c r="A52" s="89">
        <v>322</v>
      </c>
      <c r="B52" s="80" t="s">
        <v>100</v>
      </c>
      <c r="C52" s="80"/>
      <c r="D52" s="80" t="s">
        <v>101</v>
      </c>
      <c r="E52" s="80">
        <v>2011</v>
      </c>
      <c r="F52" s="80" t="s">
        <v>102</v>
      </c>
      <c r="G52" s="84">
        <v>19000</v>
      </c>
      <c r="H52" s="81" t="s">
        <v>190</v>
      </c>
      <c r="I52" s="81">
        <v>147</v>
      </c>
      <c r="J52" s="81"/>
      <c r="K52" s="85">
        <f t="shared" si="0"/>
        <v>2793000</v>
      </c>
      <c r="L52" s="86">
        <v>27</v>
      </c>
      <c r="M52" s="87">
        <v>340</v>
      </c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</row>
    <row r="53" spans="1:30" s="65" customFormat="1" ht="59.25" customHeight="1" x14ac:dyDescent="0.2">
      <c r="A53" s="89"/>
      <c r="B53" s="80" t="s">
        <v>103</v>
      </c>
      <c r="C53" s="80">
        <v>2008</v>
      </c>
      <c r="D53" s="80" t="s">
        <v>104</v>
      </c>
      <c r="E53" s="80" t="s">
        <v>74</v>
      </c>
      <c r="F53" s="80" t="s">
        <v>105</v>
      </c>
      <c r="G53" s="84">
        <f t="shared" ref="G53:G61" si="3">K53/I53</f>
        <v>1514.6530612244899</v>
      </c>
      <c r="H53" s="81" t="s">
        <v>106</v>
      </c>
      <c r="I53" s="81">
        <v>147</v>
      </c>
      <c r="J53" s="81">
        <v>5.16</v>
      </c>
      <c r="K53" s="85">
        <f>43150*J53</f>
        <v>222654</v>
      </c>
      <c r="L53" s="88">
        <v>28</v>
      </c>
      <c r="M53" s="87">
        <v>341</v>
      </c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</row>
    <row r="54" spans="1:30" s="5" customFormat="1" ht="82.5" customHeight="1" x14ac:dyDescent="0.2">
      <c r="A54" s="89">
        <v>323</v>
      </c>
      <c r="B54" s="80" t="s">
        <v>107</v>
      </c>
      <c r="C54" s="80">
        <v>2004</v>
      </c>
      <c r="D54" s="80" t="s">
        <v>17</v>
      </c>
      <c r="E54" s="80">
        <v>2011</v>
      </c>
      <c r="F54" s="80" t="s">
        <v>108</v>
      </c>
      <c r="G54" s="84">
        <f t="shared" si="3"/>
        <v>1553.5714285714287</v>
      </c>
      <c r="H54" s="81" t="s">
        <v>205</v>
      </c>
      <c r="I54" s="81">
        <v>147</v>
      </c>
      <c r="J54" s="81">
        <v>5.22</v>
      </c>
      <c r="K54" s="85">
        <f>43750*J54</f>
        <v>228375</v>
      </c>
      <c r="L54" s="86">
        <v>29</v>
      </c>
      <c r="M54" s="87">
        <v>342</v>
      </c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</row>
    <row r="55" spans="1:30" s="65" customFormat="1" ht="51" customHeight="1" x14ac:dyDescent="0.2">
      <c r="A55" s="89">
        <v>324</v>
      </c>
      <c r="B55" s="80" t="s">
        <v>109</v>
      </c>
      <c r="C55" s="80">
        <v>2010</v>
      </c>
      <c r="D55" s="80" t="s">
        <v>17</v>
      </c>
      <c r="E55" s="80">
        <v>2011</v>
      </c>
      <c r="F55" s="80" t="s">
        <v>110</v>
      </c>
      <c r="G55" s="84">
        <f t="shared" si="3"/>
        <v>13304.71469387755</v>
      </c>
      <c r="H55" s="81" t="s">
        <v>111</v>
      </c>
      <c r="I55" s="81">
        <v>147</v>
      </c>
      <c r="J55" s="81">
        <v>5.22</v>
      </c>
      <c r="K55" s="85">
        <f>374673*J55</f>
        <v>1955793.0599999998</v>
      </c>
      <c r="L55" s="88">
        <v>30</v>
      </c>
      <c r="M55" s="87">
        <v>343</v>
      </c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</row>
    <row r="56" spans="1:30" s="65" customFormat="1" ht="59.25" customHeight="1" x14ac:dyDescent="0.2">
      <c r="A56" s="89"/>
      <c r="B56" s="80" t="s">
        <v>112</v>
      </c>
      <c r="C56" s="80">
        <v>2010</v>
      </c>
      <c r="D56" s="80" t="s">
        <v>17</v>
      </c>
      <c r="E56" s="80" t="s">
        <v>113</v>
      </c>
      <c r="F56" s="80" t="s">
        <v>20</v>
      </c>
      <c r="G56" s="84">
        <f t="shared" si="3"/>
        <v>15798.938775510203</v>
      </c>
      <c r="H56" s="85" t="s">
        <v>114</v>
      </c>
      <c r="I56" s="81">
        <v>147</v>
      </c>
      <c r="J56" s="81">
        <v>5.15</v>
      </c>
      <c r="K56" s="85">
        <f>450960*J56</f>
        <v>2322444</v>
      </c>
      <c r="L56" s="88">
        <v>31</v>
      </c>
      <c r="M56" s="87">
        <v>344</v>
      </c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</row>
    <row r="57" spans="1:30" s="63" customFormat="1" ht="59.25" customHeight="1" x14ac:dyDescent="0.2">
      <c r="A57" s="89">
        <v>325</v>
      </c>
      <c r="B57" s="80" t="s">
        <v>115</v>
      </c>
      <c r="C57" s="80">
        <v>2009</v>
      </c>
      <c r="D57" s="80" t="s">
        <v>17</v>
      </c>
      <c r="E57" s="80">
        <v>2011</v>
      </c>
      <c r="F57" s="80" t="s">
        <v>15</v>
      </c>
      <c r="G57" s="84">
        <f t="shared" si="3"/>
        <v>5856.5795918367348</v>
      </c>
      <c r="H57" s="81" t="s">
        <v>196</v>
      </c>
      <c r="I57" s="81">
        <v>147</v>
      </c>
      <c r="J57" s="81">
        <v>5.19</v>
      </c>
      <c r="K57" s="85">
        <f>165880*J57</f>
        <v>860917.20000000007</v>
      </c>
      <c r="L57" s="86">
        <v>32</v>
      </c>
      <c r="M57" s="87">
        <v>345</v>
      </c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</row>
    <row r="58" spans="1:30" s="63" customFormat="1" ht="59.25" customHeight="1" x14ac:dyDescent="0.2">
      <c r="A58" s="89">
        <v>326</v>
      </c>
      <c r="B58" s="80" t="s">
        <v>116</v>
      </c>
      <c r="C58" s="80">
        <v>2011</v>
      </c>
      <c r="D58" s="80" t="s">
        <v>17</v>
      </c>
      <c r="E58" s="80">
        <v>2011</v>
      </c>
      <c r="F58" s="80" t="s">
        <v>15</v>
      </c>
      <c r="G58" s="84">
        <f t="shared" si="3"/>
        <v>4676.4625850340135</v>
      </c>
      <c r="H58" s="81" t="s">
        <v>195</v>
      </c>
      <c r="I58" s="81">
        <v>147</v>
      </c>
      <c r="J58" s="81">
        <v>5.2</v>
      </c>
      <c r="K58" s="85">
        <f>132200*J58</f>
        <v>687440</v>
      </c>
      <c r="L58" s="88">
        <v>33</v>
      </c>
      <c r="M58" s="87">
        <v>346</v>
      </c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</row>
    <row r="59" spans="1:30" s="63" customFormat="1" ht="48" customHeight="1" x14ac:dyDescent="0.2">
      <c r="A59" s="89">
        <v>327</v>
      </c>
      <c r="B59" s="90" t="s">
        <v>117</v>
      </c>
      <c r="C59" s="80">
        <v>2006</v>
      </c>
      <c r="D59" s="80" t="s">
        <v>118</v>
      </c>
      <c r="E59" s="80">
        <v>2011</v>
      </c>
      <c r="F59" s="80" t="s">
        <v>119</v>
      </c>
      <c r="G59" s="84">
        <f t="shared" si="3"/>
        <v>6851.0172911564614</v>
      </c>
      <c r="H59" s="81" t="s">
        <v>197</v>
      </c>
      <c r="I59" s="81">
        <v>147</v>
      </c>
      <c r="J59" s="81">
        <v>5.0599999999999996</v>
      </c>
      <c r="K59" s="85">
        <f>199031.53*J59</f>
        <v>1007099.5417999999</v>
      </c>
      <c r="L59" s="86">
        <v>34</v>
      </c>
      <c r="M59" s="87">
        <v>347</v>
      </c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</row>
    <row r="60" spans="1:30" s="5" customFormat="1" ht="57" customHeight="1" x14ac:dyDescent="0.2">
      <c r="A60" s="91">
        <v>328</v>
      </c>
      <c r="B60" s="92" t="s">
        <v>121</v>
      </c>
      <c r="C60" s="93">
        <v>2010</v>
      </c>
      <c r="D60" s="80" t="s">
        <v>17</v>
      </c>
      <c r="E60" s="80" t="s">
        <v>122</v>
      </c>
      <c r="F60" s="80" t="s">
        <v>15</v>
      </c>
      <c r="G60" s="84">
        <f t="shared" si="3"/>
        <v>372.85714285714283</v>
      </c>
      <c r="H60" s="81" t="s">
        <v>123</v>
      </c>
      <c r="I60" s="81">
        <v>147</v>
      </c>
      <c r="J60" s="81">
        <v>5.22</v>
      </c>
      <c r="K60" s="85">
        <f>10500*J60</f>
        <v>54810</v>
      </c>
      <c r="L60" s="88">
        <v>35</v>
      </c>
      <c r="M60" s="87">
        <v>348</v>
      </c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</row>
    <row r="61" spans="1:30" s="63" customFormat="1" ht="57.75" customHeight="1" x14ac:dyDescent="0.2">
      <c r="A61" s="89">
        <v>329</v>
      </c>
      <c r="B61" s="94" t="s">
        <v>124</v>
      </c>
      <c r="C61" s="80">
        <v>2011</v>
      </c>
      <c r="D61" s="80" t="s">
        <v>17</v>
      </c>
      <c r="E61" s="80">
        <v>2011</v>
      </c>
      <c r="F61" s="80" t="s">
        <v>15</v>
      </c>
      <c r="G61" s="84">
        <f t="shared" si="3"/>
        <v>6558.0244897959183</v>
      </c>
      <c r="H61" s="81" t="s">
        <v>198</v>
      </c>
      <c r="I61" s="81">
        <v>147</v>
      </c>
      <c r="J61" s="81">
        <v>5.22</v>
      </c>
      <c r="K61" s="85">
        <f>184680*J61</f>
        <v>964029.6</v>
      </c>
      <c r="L61" s="88">
        <v>36</v>
      </c>
      <c r="M61" s="87">
        <v>349</v>
      </c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</row>
    <row r="62" spans="1:30" s="65" customFormat="1" ht="39.75" customHeight="1" x14ac:dyDescent="0.2">
      <c r="A62" s="89"/>
      <c r="B62" s="80" t="s">
        <v>12</v>
      </c>
      <c r="C62" s="80">
        <v>1991</v>
      </c>
      <c r="D62" s="80" t="s">
        <v>13</v>
      </c>
      <c r="E62" s="80" t="s">
        <v>125</v>
      </c>
      <c r="F62" s="80" t="s">
        <v>41</v>
      </c>
      <c r="G62" s="84">
        <v>18540</v>
      </c>
      <c r="H62" s="81"/>
      <c r="I62" s="81">
        <v>147</v>
      </c>
      <c r="J62" s="81"/>
      <c r="K62" s="85">
        <f t="shared" si="0"/>
        <v>2725380</v>
      </c>
      <c r="L62" s="86">
        <v>37</v>
      </c>
      <c r="M62" s="87">
        <v>350</v>
      </c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</row>
    <row r="63" spans="1:30" s="61" customFormat="1" ht="62.25" customHeight="1" x14ac:dyDescent="0.2">
      <c r="A63" s="89">
        <v>330</v>
      </c>
      <c r="B63" s="80" t="s">
        <v>126</v>
      </c>
      <c r="C63" s="80">
        <v>2010</v>
      </c>
      <c r="D63" s="80" t="s">
        <v>17</v>
      </c>
      <c r="E63" s="80">
        <v>2011</v>
      </c>
      <c r="F63" s="80" t="s">
        <v>15</v>
      </c>
      <c r="G63" s="84">
        <f>K63/I63</f>
        <v>11082.974829931973</v>
      </c>
      <c r="H63" s="81" t="s">
        <v>194</v>
      </c>
      <c r="I63" s="81">
        <v>147</v>
      </c>
      <c r="J63" s="81">
        <v>5.23</v>
      </c>
      <c r="K63" s="85">
        <f>311510*J63</f>
        <v>1629197.3</v>
      </c>
      <c r="L63" s="88">
        <v>38</v>
      </c>
      <c r="M63" s="87">
        <v>351</v>
      </c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</row>
    <row r="64" spans="1:30" s="65" customFormat="1" ht="57.75" customHeight="1" x14ac:dyDescent="0.2">
      <c r="A64" s="89">
        <v>331</v>
      </c>
      <c r="B64" s="80" t="s">
        <v>127</v>
      </c>
      <c r="C64" s="80">
        <v>2010</v>
      </c>
      <c r="D64" s="80" t="s">
        <v>26</v>
      </c>
      <c r="E64" s="80">
        <v>2011</v>
      </c>
      <c r="F64" s="80" t="s">
        <v>27</v>
      </c>
      <c r="G64" s="84">
        <f>K64/I64</f>
        <v>3337.1669387755105</v>
      </c>
      <c r="H64" s="81" t="s">
        <v>128</v>
      </c>
      <c r="I64" s="81">
        <v>147</v>
      </c>
      <c r="J64" s="81">
        <v>5.23</v>
      </c>
      <c r="K64" s="85">
        <f>93798*J64</f>
        <v>490563.54000000004</v>
      </c>
      <c r="L64" s="86">
        <v>39</v>
      </c>
      <c r="M64" s="87">
        <v>352</v>
      </c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</row>
    <row r="65" spans="1:30" s="65" customFormat="1" ht="61.5" customHeight="1" x14ac:dyDescent="0.2">
      <c r="A65" s="89">
        <v>332</v>
      </c>
      <c r="B65" s="80" t="s">
        <v>129</v>
      </c>
      <c r="C65" s="80">
        <v>2010</v>
      </c>
      <c r="D65" s="80" t="s">
        <v>17</v>
      </c>
      <c r="E65" s="80">
        <v>2011</v>
      </c>
      <c r="F65" s="80" t="s">
        <v>15</v>
      </c>
      <c r="G65" s="84">
        <f t="shared" ref="G65:G72" si="4">K65/I65</f>
        <v>1359.7278911564626</v>
      </c>
      <c r="H65" s="81" t="s">
        <v>130</v>
      </c>
      <c r="I65" s="81">
        <v>147</v>
      </c>
      <c r="J65" s="81">
        <v>5.26</v>
      </c>
      <c r="K65" s="85">
        <f>38000*J65</f>
        <v>199880</v>
      </c>
      <c r="L65" s="88">
        <v>40</v>
      </c>
      <c r="M65" s="87">
        <v>353</v>
      </c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</row>
    <row r="66" spans="1:30" s="65" customFormat="1" ht="60" customHeight="1" x14ac:dyDescent="0.2">
      <c r="A66" s="89">
        <v>333</v>
      </c>
      <c r="B66" s="80" t="s">
        <v>131</v>
      </c>
      <c r="C66" s="80">
        <v>2007</v>
      </c>
      <c r="D66" s="80" t="s">
        <v>17</v>
      </c>
      <c r="E66" s="80">
        <v>2011</v>
      </c>
      <c r="F66" s="80" t="s">
        <v>15</v>
      </c>
      <c r="G66" s="84">
        <f t="shared" si="4"/>
        <v>7165.2326530612245</v>
      </c>
      <c r="H66" s="81" t="s">
        <v>132</v>
      </c>
      <c r="I66" s="81">
        <v>147</v>
      </c>
      <c r="J66" s="81">
        <v>4.99</v>
      </c>
      <c r="K66" s="85">
        <f>211080*J66</f>
        <v>1053289.2</v>
      </c>
      <c r="L66" s="88">
        <v>41</v>
      </c>
      <c r="M66" s="87">
        <v>354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</row>
    <row r="67" spans="1:30" s="65" customFormat="1" ht="61.5" customHeight="1" x14ac:dyDescent="0.2">
      <c r="A67" s="89">
        <v>334</v>
      </c>
      <c r="B67" s="80" t="s">
        <v>133</v>
      </c>
      <c r="C67" s="80">
        <v>2011</v>
      </c>
      <c r="D67" s="80" t="s">
        <v>17</v>
      </c>
      <c r="E67" s="80">
        <v>2011</v>
      </c>
      <c r="F67" s="80" t="s">
        <v>15</v>
      </c>
      <c r="G67" s="84">
        <f t="shared" si="4"/>
        <v>5347.436734693877</v>
      </c>
      <c r="H67" s="81" t="s">
        <v>134</v>
      </c>
      <c r="I67" s="81">
        <v>147</v>
      </c>
      <c r="J67" s="81">
        <v>5.27</v>
      </c>
      <c r="K67" s="85">
        <f>149160*J67</f>
        <v>786073.2</v>
      </c>
      <c r="L67" s="86">
        <v>42</v>
      </c>
      <c r="M67" s="87">
        <v>355</v>
      </c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</row>
    <row r="68" spans="1:30" s="65" customFormat="1" ht="57" customHeight="1" x14ac:dyDescent="0.2">
      <c r="A68" s="89">
        <v>335</v>
      </c>
      <c r="B68" s="80" t="s">
        <v>28</v>
      </c>
      <c r="C68" s="80">
        <v>2004</v>
      </c>
      <c r="D68" s="80" t="s">
        <v>29</v>
      </c>
      <c r="E68" s="80">
        <v>2011</v>
      </c>
      <c r="F68" s="80" t="s">
        <v>135</v>
      </c>
      <c r="G68" s="84">
        <f t="shared" si="4"/>
        <v>4156.4625850340135</v>
      </c>
      <c r="H68" s="81" t="s">
        <v>136</v>
      </c>
      <c r="I68" s="81">
        <v>147</v>
      </c>
      <c r="J68" s="81">
        <v>4.7</v>
      </c>
      <c r="K68" s="85">
        <f>130000*J68</f>
        <v>611000</v>
      </c>
      <c r="L68" s="88">
        <v>43</v>
      </c>
      <c r="M68" s="87">
        <v>356</v>
      </c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</row>
    <row r="69" spans="1:30" s="72" customFormat="1" ht="39" customHeight="1" x14ac:dyDescent="0.2">
      <c r="A69" s="89"/>
      <c r="B69" s="80" t="s">
        <v>137</v>
      </c>
      <c r="C69" s="80">
        <v>2010</v>
      </c>
      <c r="D69" s="80" t="s">
        <v>17</v>
      </c>
      <c r="E69" s="80" t="s">
        <v>113</v>
      </c>
      <c r="F69" s="80" t="s">
        <v>20</v>
      </c>
      <c r="G69" s="84">
        <f t="shared" si="4"/>
        <v>4160.3809523809523</v>
      </c>
      <c r="H69" s="81" t="s">
        <v>138</v>
      </c>
      <c r="I69" s="81">
        <v>147</v>
      </c>
      <c r="J69" s="81">
        <v>4.6900000000000004</v>
      </c>
      <c r="K69" s="85">
        <f>130400*J69</f>
        <v>611576</v>
      </c>
      <c r="L69" s="86">
        <v>44</v>
      </c>
      <c r="M69" s="87">
        <v>357</v>
      </c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</row>
    <row r="70" spans="1:30" s="72" customFormat="1" ht="48" customHeight="1" x14ac:dyDescent="0.2">
      <c r="A70" s="89"/>
      <c r="B70" s="80" t="s">
        <v>71</v>
      </c>
      <c r="C70" s="80">
        <v>2008</v>
      </c>
      <c r="D70" s="80" t="s">
        <v>34</v>
      </c>
      <c r="E70" s="80" t="s">
        <v>113</v>
      </c>
      <c r="F70" s="80" t="s">
        <v>14</v>
      </c>
      <c r="G70" s="84">
        <f t="shared" si="4"/>
        <v>1627.5510204081634</v>
      </c>
      <c r="H70" s="81" t="s">
        <v>139</v>
      </c>
      <c r="I70" s="81">
        <v>147</v>
      </c>
      <c r="J70" s="81">
        <v>5</v>
      </c>
      <c r="K70" s="85">
        <f>47850*J70</f>
        <v>239250</v>
      </c>
      <c r="L70" s="88">
        <v>45</v>
      </c>
      <c r="M70" s="87">
        <v>358</v>
      </c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</row>
    <row r="71" spans="1:30" s="72" customFormat="1" ht="57" customHeight="1" x14ac:dyDescent="0.2">
      <c r="A71" s="89">
        <v>336</v>
      </c>
      <c r="B71" s="80" t="s">
        <v>140</v>
      </c>
      <c r="C71" s="80">
        <v>2010</v>
      </c>
      <c r="D71" s="80" t="s">
        <v>17</v>
      </c>
      <c r="E71" s="80">
        <v>2011</v>
      </c>
      <c r="F71" s="80" t="s">
        <v>15</v>
      </c>
      <c r="G71" s="84">
        <f t="shared" si="4"/>
        <v>7919.0469387755111</v>
      </c>
      <c r="H71" s="81" t="s">
        <v>193</v>
      </c>
      <c r="I71" s="81">
        <v>147</v>
      </c>
      <c r="J71" s="81">
        <v>4.9800000000000004</v>
      </c>
      <c r="K71" s="85">
        <f>233755*J71</f>
        <v>1164099.9000000001</v>
      </c>
      <c r="L71" s="88">
        <v>46</v>
      </c>
      <c r="M71" s="87">
        <v>359</v>
      </c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</row>
    <row r="72" spans="1:30" s="71" customFormat="1" ht="50.25" customHeight="1" x14ac:dyDescent="0.2">
      <c r="A72" s="89"/>
      <c r="B72" s="90" t="s">
        <v>23</v>
      </c>
      <c r="C72" s="80">
        <v>2005</v>
      </c>
      <c r="D72" s="80" t="s">
        <v>24</v>
      </c>
      <c r="E72" s="80" t="s">
        <v>113</v>
      </c>
      <c r="F72" s="80" t="s">
        <v>25</v>
      </c>
      <c r="G72" s="84">
        <f t="shared" si="4"/>
        <v>4719.9951326530618</v>
      </c>
      <c r="H72" s="81" t="s">
        <v>202</v>
      </c>
      <c r="I72" s="81">
        <v>147</v>
      </c>
      <c r="J72" s="81">
        <v>4.71</v>
      </c>
      <c r="K72" s="85">
        <f>147311.95*J72</f>
        <v>693839.28450000007</v>
      </c>
      <c r="L72" s="86">
        <v>47</v>
      </c>
      <c r="M72" s="87">
        <v>360</v>
      </c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</row>
    <row r="73" spans="1:30" s="10" customFormat="1" ht="53.25" customHeight="1" x14ac:dyDescent="0.2">
      <c r="A73" s="91"/>
      <c r="B73" s="92" t="s">
        <v>100</v>
      </c>
      <c r="C73" s="93">
        <v>2006</v>
      </c>
      <c r="D73" s="80" t="s">
        <v>101</v>
      </c>
      <c r="E73" s="80" t="s">
        <v>141</v>
      </c>
      <c r="F73" s="80" t="s">
        <v>102</v>
      </c>
      <c r="G73" s="84">
        <v>4350</v>
      </c>
      <c r="H73" s="81" t="s">
        <v>189</v>
      </c>
      <c r="I73" s="81">
        <v>147</v>
      </c>
      <c r="J73" s="81"/>
      <c r="K73" s="85">
        <f t="shared" si="0"/>
        <v>639450</v>
      </c>
      <c r="L73" s="88"/>
      <c r="M73" s="87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</row>
    <row r="74" spans="1:30" s="73" customFormat="1" ht="59.25" customHeight="1" x14ac:dyDescent="0.2">
      <c r="A74" s="89">
        <v>337</v>
      </c>
      <c r="B74" s="95" t="s">
        <v>142</v>
      </c>
      <c r="C74" s="80">
        <v>2011</v>
      </c>
      <c r="D74" s="80" t="s">
        <v>17</v>
      </c>
      <c r="E74" s="80">
        <v>2011</v>
      </c>
      <c r="F74" s="80" t="s">
        <v>15</v>
      </c>
      <c r="G74" s="84">
        <f>K74/I74</f>
        <v>6139.9673469387762</v>
      </c>
      <c r="H74" s="81" t="s">
        <v>192</v>
      </c>
      <c r="I74" s="81">
        <v>147</v>
      </c>
      <c r="J74" s="81">
        <v>4.9800000000000004</v>
      </c>
      <c r="K74" s="85">
        <f>181240*J74</f>
        <v>902575.20000000007</v>
      </c>
      <c r="L74" s="86">
        <v>48</v>
      </c>
      <c r="M74" s="87">
        <v>361</v>
      </c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</row>
    <row r="75" spans="1:30" s="65" customFormat="1" ht="58.5" customHeight="1" x14ac:dyDescent="0.2">
      <c r="A75" s="91">
        <v>338</v>
      </c>
      <c r="B75" s="92" t="s">
        <v>144</v>
      </c>
      <c r="C75" s="93">
        <v>2011</v>
      </c>
      <c r="D75" s="80" t="s">
        <v>17</v>
      </c>
      <c r="E75" s="80">
        <v>2011</v>
      </c>
      <c r="F75" s="80" t="s">
        <v>15</v>
      </c>
      <c r="G75" s="84">
        <f>K75/I75</f>
        <v>8847.6293795918373</v>
      </c>
      <c r="H75" s="81" t="s">
        <v>191</v>
      </c>
      <c r="I75" s="81">
        <v>147</v>
      </c>
      <c r="J75" s="81">
        <v>4.82</v>
      </c>
      <c r="K75" s="85">
        <f>269834.34*J75</f>
        <v>1300601.5188000002</v>
      </c>
      <c r="L75" s="88">
        <v>49</v>
      </c>
      <c r="M75" s="87">
        <v>362</v>
      </c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</row>
    <row r="76" spans="1:30" s="65" customFormat="1" ht="37.5" customHeight="1" x14ac:dyDescent="0.2">
      <c r="A76" s="89">
        <v>339</v>
      </c>
      <c r="B76" s="94" t="s">
        <v>145</v>
      </c>
      <c r="C76" s="80">
        <v>2000</v>
      </c>
      <c r="D76" s="80" t="s">
        <v>35</v>
      </c>
      <c r="E76" s="80">
        <v>2011</v>
      </c>
      <c r="F76" s="80" t="s">
        <v>41</v>
      </c>
      <c r="G76" s="84">
        <v>15000</v>
      </c>
      <c r="H76" s="81"/>
      <c r="I76" s="81">
        <v>147</v>
      </c>
      <c r="J76" s="81"/>
      <c r="K76" s="85">
        <f t="shared" si="0"/>
        <v>2205000</v>
      </c>
      <c r="L76" s="88">
        <v>50</v>
      </c>
      <c r="M76" s="87">
        <v>363</v>
      </c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</row>
    <row r="77" spans="1:30" s="65" customFormat="1" ht="63.75" customHeight="1" x14ac:dyDescent="0.2">
      <c r="A77" s="89"/>
      <c r="B77" s="96" t="s">
        <v>40</v>
      </c>
      <c r="C77" s="80">
        <v>2011</v>
      </c>
      <c r="D77" s="80" t="s">
        <v>17</v>
      </c>
      <c r="E77" s="80" t="s">
        <v>146</v>
      </c>
      <c r="F77" s="80" t="s">
        <v>41</v>
      </c>
      <c r="G77" s="84">
        <v>9500</v>
      </c>
      <c r="H77" s="81"/>
      <c r="I77" s="81">
        <v>147</v>
      </c>
      <c r="J77" s="81"/>
      <c r="K77" s="85">
        <f t="shared" si="0"/>
        <v>1396500</v>
      </c>
      <c r="L77" s="86">
        <v>51</v>
      </c>
      <c r="M77" s="87">
        <v>364</v>
      </c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</row>
    <row r="78" spans="1:30" s="72" customFormat="1" ht="46.5" customHeight="1" x14ac:dyDescent="0.2">
      <c r="A78" s="91">
        <v>340</v>
      </c>
      <c r="B78" s="92" t="s">
        <v>147</v>
      </c>
      <c r="C78" s="93">
        <v>2009</v>
      </c>
      <c r="D78" s="80" t="s">
        <v>148</v>
      </c>
      <c r="E78" s="80">
        <v>2011</v>
      </c>
      <c r="F78" s="80" t="s">
        <v>149</v>
      </c>
      <c r="G78" s="84">
        <f t="shared" ref="G78:G85" si="5">K78/I78</f>
        <v>6149.6598639455779</v>
      </c>
      <c r="H78" s="81" t="s">
        <v>120</v>
      </c>
      <c r="I78" s="81">
        <v>147</v>
      </c>
      <c r="J78" s="81">
        <v>4.5199999999999996</v>
      </c>
      <c r="K78" s="85">
        <f>200000*J78</f>
        <v>903999.99999999988</v>
      </c>
      <c r="L78" s="88">
        <v>52</v>
      </c>
      <c r="M78" s="87">
        <v>365</v>
      </c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</row>
    <row r="79" spans="1:30" s="65" customFormat="1" ht="45.75" customHeight="1" x14ac:dyDescent="0.2">
      <c r="A79" s="89">
        <v>341</v>
      </c>
      <c r="B79" s="94" t="s">
        <v>150</v>
      </c>
      <c r="C79" s="80">
        <v>2011</v>
      </c>
      <c r="D79" s="80" t="s">
        <v>17</v>
      </c>
      <c r="E79" s="80">
        <v>2011</v>
      </c>
      <c r="F79" s="80" t="s">
        <v>15</v>
      </c>
      <c r="G79" s="84">
        <f t="shared" si="5"/>
        <v>6177.5476190476193</v>
      </c>
      <c r="H79" s="81" t="s">
        <v>143</v>
      </c>
      <c r="I79" s="81">
        <v>147</v>
      </c>
      <c r="J79" s="81">
        <v>4.58</v>
      </c>
      <c r="K79" s="85">
        <f>198275*J79</f>
        <v>908099.5</v>
      </c>
      <c r="L79" s="86">
        <v>53</v>
      </c>
      <c r="M79" s="87">
        <v>366</v>
      </c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</row>
    <row r="80" spans="1:30" s="65" customFormat="1" ht="48.75" customHeight="1" x14ac:dyDescent="0.2">
      <c r="A80" s="89">
        <v>342</v>
      </c>
      <c r="B80" s="80" t="s">
        <v>151</v>
      </c>
      <c r="C80" s="80">
        <v>2011</v>
      </c>
      <c r="D80" s="80" t="s">
        <v>17</v>
      </c>
      <c r="E80" s="80">
        <v>2011</v>
      </c>
      <c r="F80" s="80" t="s">
        <v>15</v>
      </c>
      <c r="G80" s="84">
        <f t="shared" si="5"/>
        <v>7188.1836734693879</v>
      </c>
      <c r="H80" s="81" t="s">
        <v>152</v>
      </c>
      <c r="I80" s="81">
        <v>147</v>
      </c>
      <c r="J80" s="81">
        <v>4.5199999999999996</v>
      </c>
      <c r="K80" s="85">
        <f>233775*J80</f>
        <v>1056663</v>
      </c>
      <c r="L80" s="88">
        <v>54</v>
      </c>
      <c r="M80" s="87">
        <v>367</v>
      </c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</row>
    <row r="81" spans="1:30" s="65" customFormat="1" ht="48.75" customHeight="1" x14ac:dyDescent="0.2">
      <c r="A81" s="89">
        <v>343</v>
      </c>
      <c r="B81" s="80" t="s">
        <v>153</v>
      </c>
      <c r="C81" s="80">
        <v>2009</v>
      </c>
      <c r="D81" s="80" t="s">
        <v>17</v>
      </c>
      <c r="E81" s="80" t="s">
        <v>113</v>
      </c>
      <c r="F81" s="80" t="s">
        <v>20</v>
      </c>
      <c r="G81" s="84">
        <f t="shared" si="5"/>
        <v>13258.040816326531</v>
      </c>
      <c r="H81" s="81" t="s">
        <v>154</v>
      </c>
      <c r="I81" s="81">
        <v>147</v>
      </c>
      <c r="J81" s="81">
        <v>5.16</v>
      </c>
      <c r="K81" s="85">
        <f>377700*J81</f>
        <v>1948932</v>
      </c>
      <c r="L81" s="88">
        <v>55</v>
      </c>
      <c r="M81" s="87">
        <v>368</v>
      </c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</row>
    <row r="82" spans="1:30" s="65" customFormat="1" ht="41.25" customHeight="1" x14ac:dyDescent="0.2">
      <c r="A82" s="89">
        <v>344</v>
      </c>
      <c r="B82" s="80" t="s">
        <v>155</v>
      </c>
      <c r="C82" s="80">
        <v>1996</v>
      </c>
      <c r="D82" s="80" t="s">
        <v>17</v>
      </c>
      <c r="E82" s="80">
        <v>2011</v>
      </c>
      <c r="F82" s="80" t="s">
        <v>20</v>
      </c>
      <c r="G82" s="84">
        <f t="shared" si="5"/>
        <v>15855.591836734693</v>
      </c>
      <c r="H82" s="81" t="s">
        <v>156</v>
      </c>
      <c r="I82" s="81">
        <v>147</v>
      </c>
      <c r="J82" s="81">
        <v>5.16</v>
      </c>
      <c r="K82" s="85">
        <f>451700*J82</f>
        <v>2330772</v>
      </c>
      <c r="L82" s="86">
        <v>56</v>
      </c>
      <c r="M82" s="87">
        <v>369</v>
      </c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</row>
    <row r="83" spans="1:30" s="65" customFormat="1" ht="49.5" customHeight="1" x14ac:dyDescent="0.2">
      <c r="A83" s="89"/>
      <c r="B83" s="80" t="s">
        <v>61</v>
      </c>
      <c r="C83" s="80">
        <v>2007</v>
      </c>
      <c r="D83" s="80" t="s">
        <v>17</v>
      </c>
      <c r="E83" s="80" t="s">
        <v>113</v>
      </c>
      <c r="F83" s="80" t="s">
        <v>20</v>
      </c>
      <c r="G83" s="84">
        <f t="shared" si="5"/>
        <v>7994.0612244897957</v>
      </c>
      <c r="H83" s="81" t="s">
        <v>157</v>
      </c>
      <c r="I83" s="81">
        <v>147</v>
      </c>
      <c r="J83" s="81">
        <v>5.15</v>
      </c>
      <c r="K83" s="85">
        <f>228180*J83</f>
        <v>1175127</v>
      </c>
      <c r="L83" s="88">
        <v>57</v>
      </c>
      <c r="M83" s="87">
        <v>370</v>
      </c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</row>
    <row r="84" spans="1:30" s="65" customFormat="1" ht="52.5" customHeight="1" x14ac:dyDescent="0.2">
      <c r="A84" s="89"/>
      <c r="B84" s="80" t="s">
        <v>36</v>
      </c>
      <c r="C84" s="80">
        <v>2008</v>
      </c>
      <c r="D84" s="80" t="s">
        <v>17</v>
      </c>
      <c r="E84" s="80" t="s">
        <v>113</v>
      </c>
      <c r="F84" s="80" t="s">
        <v>20</v>
      </c>
      <c r="G84" s="84">
        <f t="shared" si="5"/>
        <v>12515.657142857144</v>
      </c>
      <c r="H84" s="81" t="s">
        <v>158</v>
      </c>
      <c r="I84" s="81">
        <v>147</v>
      </c>
      <c r="J84" s="81">
        <v>4.8600000000000003</v>
      </c>
      <c r="K84" s="85">
        <f>378560*J84</f>
        <v>1839801.6</v>
      </c>
      <c r="L84" s="86">
        <v>58</v>
      </c>
      <c r="M84" s="87">
        <v>371</v>
      </c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</row>
    <row r="85" spans="1:30" s="65" customFormat="1" ht="48" customHeight="1" x14ac:dyDescent="0.2">
      <c r="A85" s="89"/>
      <c r="B85" s="80" t="s">
        <v>115</v>
      </c>
      <c r="C85" s="80">
        <v>2009</v>
      </c>
      <c r="D85" s="80" t="s">
        <v>17</v>
      </c>
      <c r="E85" s="80" t="s">
        <v>113</v>
      </c>
      <c r="F85" s="80" t="s">
        <v>15</v>
      </c>
      <c r="G85" s="84">
        <f t="shared" si="5"/>
        <v>6804.8891156462587</v>
      </c>
      <c r="H85" s="81" t="s">
        <v>159</v>
      </c>
      <c r="I85" s="81">
        <v>147</v>
      </c>
      <c r="J85" s="81">
        <v>4.82</v>
      </c>
      <c r="K85" s="85">
        <f>207535*J85</f>
        <v>1000318.7000000001</v>
      </c>
      <c r="L85" s="88">
        <v>59</v>
      </c>
      <c r="M85" s="87">
        <v>372</v>
      </c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</row>
    <row r="86" spans="1:30" s="63" customFormat="1" ht="33.75" x14ac:dyDescent="0.2">
      <c r="A86" s="89">
        <v>345</v>
      </c>
      <c r="B86" s="80" t="s">
        <v>160</v>
      </c>
      <c r="C86" s="80">
        <v>1996</v>
      </c>
      <c r="D86" s="80" t="s">
        <v>161</v>
      </c>
      <c r="E86" s="80">
        <v>2011</v>
      </c>
      <c r="F86" s="80" t="s">
        <v>30</v>
      </c>
      <c r="G86" s="84">
        <f>K86/I86</f>
        <v>4366.348813605442</v>
      </c>
      <c r="H86" s="81" t="s">
        <v>204</v>
      </c>
      <c r="I86" s="81">
        <v>147</v>
      </c>
      <c r="J86" s="81">
        <v>4.82</v>
      </c>
      <c r="K86" s="85">
        <f>133164.58*J86</f>
        <v>641853.27559999994</v>
      </c>
      <c r="L86" s="88">
        <v>60</v>
      </c>
      <c r="M86" s="87">
        <v>373</v>
      </c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</row>
    <row r="87" spans="1:30" s="65" customFormat="1" ht="51" customHeight="1" x14ac:dyDescent="0.2">
      <c r="A87" s="89">
        <v>346</v>
      </c>
      <c r="B87" s="80" t="s">
        <v>162</v>
      </c>
      <c r="C87" s="80">
        <v>2008</v>
      </c>
      <c r="D87" s="80" t="s">
        <v>104</v>
      </c>
      <c r="E87" s="80">
        <v>2011</v>
      </c>
      <c r="F87" s="80" t="s">
        <v>10</v>
      </c>
      <c r="G87" s="84">
        <f t="shared" ref="G87:G92" si="6">K87/I87</f>
        <v>2082.612244897959</v>
      </c>
      <c r="H87" s="81" t="s">
        <v>163</v>
      </c>
      <c r="I87" s="81">
        <v>147</v>
      </c>
      <c r="J87" s="81">
        <v>4.8</v>
      </c>
      <c r="K87" s="85">
        <f>63780*J87</f>
        <v>306144</v>
      </c>
      <c r="L87" s="86">
        <v>61</v>
      </c>
      <c r="M87" s="87">
        <v>374</v>
      </c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</row>
    <row r="88" spans="1:30" s="65" customFormat="1" ht="50.25" customHeight="1" x14ac:dyDescent="0.2">
      <c r="A88" s="89">
        <v>347</v>
      </c>
      <c r="B88" s="80" t="s">
        <v>164</v>
      </c>
      <c r="C88" s="80">
        <v>2010</v>
      </c>
      <c r="D88" s="80" t="s">
        <v>104</v>
      </c>
      <c r="E88" s="80">
        <v>2011</v>
      </c>
      <c r="F88" s="80" t="s">
        <v>10</v>
      </c>
      <c r="G88" s="84">
        <f t="shared" si="6"/>
        <v>1993.4693877551019</v>
      </c>
      <c r="H88" s="81" t="s">
        <v>165</v>
      </c>
      <c r="I88" s="81">
        <v>147</v>
      </c>
      <c r="J88" s="81">
        <v>4.8</v>
      </c>
      <c r="K88" s="85">
        <f>61050*J88</f>
        <v>293040</v>
      </c>
      <c r="L88" s="88">
        <v>62</v>
      </c>
      <c r="M88" s="87">
        <v>375</v>
      </c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</row>
    <row r="89" spans="1:30" s="65" customFormat="1" ht="50.25" customHeight="1" x14ac:dyDescent="0.2">
      <c r="A89" s="89">
        <v>348</v>
      </c>
      <c r="B89" s="80" t="s">
        <v>16</v>
      </c>
      <c r="C89" s="80">
        <v>2011</v>
      </c>
      <c r="D89" s="80" t="s">
        <v>17</v>
      </c>
      <c r="E89" s="80">
        <v>2011</v>
      </c>
      <c r="F89" s="80" t="s">
        <v>18</v>
      </c>
      <c r="G89" s="84">
        <f t="shared" si="6"/>
        <v>4403.7374149659863</v>
      </c>
      <c r="H89" s="81" t="s">
        <v>166</v>
      </c>
      <c r="I89" s="81">
        <v>147</v>
      </c>
      <c r="J89" s="81">
        <v>5.05</v>
      </c>
      <c r="K89" s="85">
        <f>128188*J89</f>
        <v>647349.4</v>
      </c>
      <c r="L89" s="86">
        <v>63</v>
      </c>
      <c r="M89" s="87">
        <v>376</v>
      </c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</row>
    <row r="90" spans="1:30" s="65" customFormat="1" ht="38.25" customHeight="1" x14ac:dyDescent="0.2">
      <c r="A90" s="89">
        <v>349</v>
      </c>
      <c r="B90" s="80" t="s">
        <v>167</v>
      </c>
      <c r="C90" s="80">
        <v>2010</v>
      </c>
      <c r="D90" s="80" t="s">
        <v>17</v>
      </c>
      <c r="E90" s="80">
        <v>2011</v>
      </c>
      <c r="F90" s="80" t="s">
        <v>15</v>
      </c>
      <c r="G90" s="84">
        <f t="shared" si="6"/>
        <v>6501.2619047619046</v>
      </c>
      <c r="H90" s="81" t="s">
        <v>143</v>
      </c>
      <c r="I90" s="81">
        <v>147</v>
      </c>
      <c r="J90" s="81">
        <v>4.82</v>
      </c>
      <c r="K90" s="85">
        <f>198275*J90</f>
        <v>955685.5</v>
      </c>
      <c r="L90" s="88">
        <v>64</v>
      </c>
      <c r="M90" s="87">
        <v>377</v>
      </c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</row>
    <row r="91" spans="1:30" s="65" customFormat="1" ht="47.25" customHeight="1" x14ac:dyDescent="0.2">
      <c r="A91" s="89">
        <v>350</v>
      </c>
      <c r="B91" s="90" t="s">
        <v>168</v>
      </c>
      <c r="C91" s="80">
        <v>2011</v>
      </c>
      <c r="D91" s="80" t="s">
        <v>17</v>
      </c>
      <c r="E91" s="80">
        <v>2011</v>
      </c>
      <c r="F91" s="80" t="s">
        <v>15</v>
      </c>
      <c r="G91" s="84">
        <f t="shared" si="6"/>
        <v>6501.2619047619046</v>
      </c>
      <c r="H91" s="81" t="s">
        <v>143</v>
      </c>
      <c r="I91" s="81">
        <v>147</v>
      </c>
      <c r="J91" s="81">
        <v>4.82</v>
      </c>
      <c r="K91" s="85">
        <f>198275*J91</f>
        <v>955685.5</v>
      </c>
      <c r="L91" s="88">
        <v>65</v>
      </c>
      <c r="M91" s="87">
        <v>378</v>
      </c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</row>
    <row r="92" spans="1:30" s="76" customFormat="1" ht="47.25" customHeight="1" x14ac:dyDescent="0.2">
      <c r="A92" s="97">
        <v>351</v>
      </c>
      <c r="B92" s="98" t="s">
        <v>19</v>
      </c>
      <c r="C92" s="99" t="s">
        <v>9</v>
      </c>
      <c r="D92" s="80" t="s">
        <v>17</v>
      </c>
      <c r="E92" s="80">
        <v>2011</v>
      </c>
      <c r="F92" s="80" t="s">
        <v>18</v>
      </c>
      <c r="G92" s="84">
        <f t="shared" si="6"/>
        <v>17585.034013605444</v>
      </c>
      <c r="H92" s="85">
        <v>550000</v>
      </c>
      <c r="I92" s="81">
        <v>147</v>
      </c>
      <c r="J92" s="81">
        <v>4.7</v>
      </c>
      <c r="K92" s="85">
        <f>550000*J92</f>
        <v>2585000</v>
      </c>
      <c r="L92" s="86">
        <v>66</v>
      </c>
      <c r="M92" s="87">
        <v>379</v>
      </c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</row>
    <row r="93" spans="1:30" s="9" customFormat="1" ht="25.5" customHeight="1" x14ac:dyDescent="0.2">
      <c r="A93" s="43"/>
      <c r="B93" s="44" t="s">
        <v>169</v>
      </c>
      <c r="C93" s="45"/>
      <c r="D93" s="46"/>
      <c r="E93" s="46"/>
      <c r="F93" s="46"/>
      <c r="G93" s="47">
        <f>SUM(G24:G92)</f>
        <v>481155.58816802717</v>
      </c>
      <c r="H93" s="48" t="s">
        <v>22</v>
      </c>
      <c r="I93" s="48"/>
      <c r="J93" s="48"/>
      <c r="K93" s="67">
        <f>SUM(K24:K92)</f>
        <v>70729871.460700005</v>
      </c>
      <c r="L93" s="49"/>
      <c r="M93" s="50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</row>
    <row r="94" spans="1:30" s="9" customFormat="1" ht="23.25" customHeight="1" x14ac:dyDescent="0.2">
      <c r="A94" s="53"/>
      <c r="B94" s="102" t="s">
        <v>42</v>
      </c>
      <c r="C94" s="102"/>
      <c r="D94" s="102"/>
      <c r="E94" s="102"/>
      <c r="F94" s="102"/>
      <c r="G94" s="54"/>
      <c r="H94" s="55"/>
      <c r="I94" s="55"/>
      <c r="J94" s="55"/>
      <c r="K94" s="55"/>
      <c r="L94" s="56"/>
      <c r="M94" s="5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</row>
    <row r="95" spans="1:30" s="71" customFormat="1" ht="44.25" customHeight="1" x14ac:dyDescent="0.2">
      <c r="A95" s="89">
        <v>352</v>
      </c>
      <c r="B95" s="81" t="s">
        <v>170</v>
      </c>
      <c r="C95" s="82">
        <v>2010</v>
      </c>
      <c r="D95" s="80" t="s">
        <v>17</v>
      </c>
      <c r="E95" s="83">
        <v>2011</v>
      </c>
      <c r="F95" s="80" t="s">
        <v>20</v>
      </c>
      <c r="G95" s="84">
        <f>K95/I95</f>
        <v>7071.4285714285716</v>
      </c>
      <c r="H95" s="85" t="s">
        <v>85</v>
      </c>
      <c r="I95" s="85">
        <v>147</v>
      </c>
      <c r="J95" s="85">
        <v>5</v>
      </c>
      <c r="K95" s="85">
        <f>207900*J95</f>
        <v>1039500</v>
      </c>
      <c r="L95" s="86">
        <v>67</v>
      </c>
      <c r="M95" s="87">
        <v>380</v>
      </c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</row>
    <row r="96" spans="1:30" s="76" customFormat="1" ht="44.25" customHeight="1" x14ac:dyDescent="0.2">
      <c r="A96" s="94">
        <v>353</v>
      </c>
      <c r="B96" s="80" t="s">
        <v>112</v>
      </c>
      <c r="C96" s="82" t="s">
        <v>11</v>
      </c>
      <c r="D96" s="80" t="s">
        <v>17</v>
      </c>
      <c r="E96" s="83" t="s">
        <v>171</v>
      </c>
      <c r="F96" s="80" t="s">
        <v>20</v>
      </c>
      <c r="G96" s="84">
        <f>K96/I96</f>
        <v>16826.530612244896</v>
      </c>
      <c r="H96" s="85" t="s">
        <v>203</v>
      </c>
      <c r="I96" s="85">
        <v>147</v>
      </c>
      <c r="J96" s="85">
        <v>5</v>
      </c>
      <c r="K96" s="85">
        <f>494700*J96</f>
        <v>2473500</v>
      </c>
      <c r="L96" s="86">
        <v>68</v>
      </c>
      <c r="M96" s="87">
        <v>381</v>
      </c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</row>
    <row r="97" spans="1:30" s="74" customFormat="1" ht="42.75" customHeight="1" x14ac:dyDescent="0.2">
      <c r="A97" s="89">
        <v>354</v>
      </c>
      <c r="B97" s="80" t="s">
        <v>172</v>
      </c>
      <c r="C97" s="82" t="s">
        <v>11</v>
      </c>
      <c r="D97" s="80" t="s">
        <v>17</v>
      </c>
      <c r="E97" s="83">
        <v>2011</v>
      </c>
      <c r="F97" s="80" t="s">
        <v>20</v>
      </c>
      <c r="G97" s="84">
        <f>K97/I97</f>
        <v>7000.7142857142853</v>
      </c>
      <c r="H97" s="85" t="s">
        <v>85</v>
      </c>
      <c r="I97" s="85">
        <v>147</v>
      </c>
      <c r="J97" s="85">
        <v>4.95</v>
      </c>
      <c r="K97" s="85">
        <f>207900*J97</f>
        <v>1029105</v>
      </c>
      <c r="L97" s="86">
        <v>69</v>
      </c>
      <c r="M97" s="87">
        <v>382</v>
      </c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</row>
    <row r="98" spans="1:30" s="5" customFormat="1" ht="38.25" customHeight="1" x14ac:dyDescent="0.2">
      <c r="A98" s="94">
        <v>355</v>
      </c>
      <c r="B98" s="80" t="s">
        <v>173</v>
      </c>
      <c r="C98" s="80">
        <v>1996</v>
      </c>
      <c r="D98" s="80" t="s">
        <v>35</v>
      </c>
      <c r="E98" s="80">
        <v>2011</v>
      </c>
      <c r="F98" s="80" t="s">
        <v>41</v>
      </c>
      <c r="G98" s="84"/>
      <c r="H98" s="81" t="s">
        <v>174</v>
      </c>
      <c r="I98" s="85">
        <v>147</v>
      </c>
      <c r="J98" s="85"/>
      <c r="K98" s="85">
        <f t="shared" ref="K98:K100" si="7">G98*I98</f>
        <v>0</v>
      </c>
      <c r="L98" s="86">
        <v>70</v>
      </c>
      <c r="M98" s="87">
        <v>383</v>
      </c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</row>
    <row r="99" spans="1:30" s="5" customFormat="1" ht="37.5" customHeight="1" x14ac:dyDescent="0.2">
      <c r="A99" s="89">
        <v>356</v>
      </c>
      <c r="B99" s="80" t="s">
        <v>175</v>
      </c>
      <c r="C99" s="80">
        <v>2010</v>
      </c>
      <c r="D99" s="80" t="s">
        <v>17</v>
      </c>
      <c r="E99" s="80">
        <v>2011</v>
      </c>
      <c r="F99" s="80" t="s">
        <v>41</v>
      </c>
      <c r="G99" s="84">
        <v>1800</v>
      </c>
      <c r="H99" s="81"/>
      <c r="I99" s="85">
        <v>147</v>
      </c>
      <c r="J99" s="85"/>
      <c r="K99" s="85">
        <f t="shared" si="7"/>
        <v>264600</v>
      </c>
      <c r="L99" s="86">
        <v>71</v>
      </c>
      <c r="M99" s="87">
        <v>384</v>
      </c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</row>
    <row r="100" spans="1:30" s="5" customFormat="1" ht="33.75" x14ac:dyDescent="0.2">
      <c r="A100" s="94">
        <v>357</v>
      </c>
      <c r="B100" s="80" t="s">
        <v>176</v>
      </c>
      <c r="C100" s="80">
        <v>2010</v>
      </c>
      <c r="D100" s="80" t="s">
        <v>17</v>
      </c>
      <c r="E100" s="80">
        <v>2011</v>
      </c>
      <c r="F100" s="80" t="s">
        <v>41</v>
      </c>
      <c r="G100" s="84"/>
      <c r="H100" s="81" t="s">
        <v>174</v>
      </c>
      <c r="I100" s="85">
        <v>147</v>
      </c>
      <c r="J100" s="85"/>
      <c r="K100" s="85">
        <f t="shared" si="7"/>
        <v>0</v>
      </c>
      <c r="L100" s="86">
        <v>72</v>
      </c>
      <c r="M100" s="87">
        <v>385</v>
      </c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</row>
    <row r="101" spans="1:30" s="9" customFormat="1" ht="25.5" customHeight="1" x14ac:dyDescent="0.2">
      <c r="A101" s="43"/>
      <c r="B101" s="51" t="s">
        <v>43</v>
      </c>
      <c r="C101" s="51"/>
      <c r="D101" s="51"/>
      <c r="E101" s="51"/>
      <c r="F101" s="51"/>
      <c r="G101" s="52">
        <f>SUM(G95:G100)</f>
        <v>32698.673469387755</v>
      </c>
      <c r="H101" s="48" t="s">
        <v>22</v>
      </c>
      <c r="I101" s="48"/>
      <c r="J101" s="48"/>
      <c r="K101" s="67">
        <f>SUM(K95:K100)</f>
        <v>4806705</v>
      </c>
      <c r="L101" s="49"/>
      <c r="M101" s="50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</row>
    <row r="102" spans="1:30" x14ac:dyDescent="0.2"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</row>
    <row r="103" spans="1:30" x14ac:dyDescent="0.2"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</row>
    <row r="104" spans="1:30" x14ac:dyDescent="0.2"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</row>
    <row r="105" spans="1:30" x14ac:dyDescent="0.2"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</row>
    <row r="106" spans="1:30" x14ac:dyDescent="0.2"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</row>
    <row r="107" spans="1:30" x14ac:dyDescent="0.2"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</row>
    <row r="108" spans="1:30" x14ac:dyDescent="0.2"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</row>
    <row r="109" spans="1:30" x14ac:dyDescent="0.2"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</row>
    <row r="110" spans="1:30" x14ac:dyDescent="0.2"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</row>
    <row r="111" spans="1:30" x14ac:dyDescent="0.2"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</row>
    <row r="112" spans="1:30" x14ac:dyDescent="0.2"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</row>
    <row r="113" spans="14:30" x14ac:dyDescent="0.2"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</row>
    <row r="114" spans="14:30" x14ac:dyDescent="0.2"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</row>
    <row r="115" spans="14:30" x14ac:dyDescent="0.2"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</row>
    <row r="116" spans="14:30" x14ac:dyDescent="0.2"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</row>
  </sheetData>
  <sheetProtection password="81D3" sheet="1" objects="1" scenarios="1" selectLockedCells="1" selectUnlockedCells="1"/>
  <mergeCells count="14">
    <mergeCell ref="B14:C14"/>
    <mergeCell ref="L21:L23"/>
    <mergeCell ref="M21:M23"/>
    <mergeCell ref="B94:F94"/>
    <mergeCell ref="B1:H1"/>
    <mergeCell ref="B2:H2"/>
    <mergeCell ref="B15:C15"/>
    <mergeCell ref="B17:C17"/>
    <mergeCell ref="B16:C16"/>
    <mergeCell ref="B4:K4"/>
    <mergeCell ref="B11:C11"/>
    <mergeCell ref="B12:C12"/>
    <mergeCell ref="B13:C13"/>
    <mergeCell ref="G18:I18"/>
  </mergeCells>
  <pageMargins left="0.27559055118110237" right="0.27559055118110237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Елена</cp:lastModifiedBy>
  <cp:lastPrinted>2017-06-08T06:03:41Z</cp:lastPrinted>
  <dcterms:created xsi:type="dcterms:W3CDTF">2013-11-07T08:01:25Z</dcterms:created>
  <dcterms:modified xsi:type="dcterms:W3CDTF">2017-06-08T10:08:17Z</dcterms:modified>
</cp:coreProperties>
</file>