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085"/>
  </bookViews>
  <sheets>
    <sheet name="2018" sheetId="10" r:id="rId1"/>
  </sheets>
  <definedNames>
    <definedName name="_xlnm._FilterDatabase" localSheetId="0" hidden="1">'2018'!$A$28:$N$145</definedName>
  </definedNames>
  <calcPr calcId="144525"/>
</workbook>
</file>

<file path=xl/calcChain.xml><?xml version="1.0" encoding="utf-8"?>
<calcChain xmlns="http://schemas.openxmlformats.org/spreadsheetml/2006/main">
  <c r="E18" i="10" l="1"/>
  <c r="L300" i="10"/>
  <c r="L299" i="10" l="1"/>
  <c r="L306" i="10" l="1"/>
  <c r="L295" i="10"/>
  <c r="L335" i="10"/>
  <c r="D18" i="10"/>
  <c r="L186" i="10"/>
  <c r="L204" i="10" l="1"/>
  <c r="L45" i="10"/>
  <c r="L280" i="10"/>
  <c r="L286" i="10" l="1"/>
  <c r="L341" i="10"/>
  <c r="L340" i="10"/>
  <c r="L339" i="10"/>
  <c r="L290" i="10" l="1"/>
  <c r="L289" i="10"/>
  <c r="L324" i="10"/>
  <c r="L333" i="10"/>
  <c r="L332" i="10"/>
  <c r="L331" i="10"/>
  <c r="L338" i="10"/>
  <c r="L337" i="10"/>
  <c r="L336" i="10"/>
  <c r="L334" i="10"/>
  <c r="L330" i="10"/>
  <c r="L329" i="10"/>
  <c r="L328" i="10"/>
  <c r="L327" i="10"/>
  <c r="L326" i="10"/>
  <c r="L325" i="10" l="1"/>
  <c r="L323" i="10" l="1"/>
  <c r="L322" i="10"/>
  <c r="L321" i="10"/>
  <c r="L320" i="10"/>
  <c r="L44" i="10" l="1"/>
  <c r="L110" i="10"/>
  <c r="L319" i="10"/>
  <c r="L318" i="10"/>
  <c r="L313" i="10" l="1"/>
  <c r="L317" i="10"/>
  <c r="L316" i="10"/>
  <c r="L315" i="10"/>
  <c r="L314" i="10"/>
  <c r="L312" i="10"/>
  <c r="L311" i="10"/>
  <c r="L310" i="10"/>
  <c r="L309" i="10"/>
  <c r="L308" i="10"/>
  <c r="L305" i="10" l="1"/>
  <c r="L304" i="10"/>
  <c r="L303" i="10"/>
  <c r="L302" i="10"/>
  <c r="L301" i="10"/>
  <c r="L166" i="10" l="1"/>
  <c r="L284" i="10"/>
  <c r="L109" i="10"/>
  <c r="L134" i="10"/>
  <c r="L298" i="10"/>
  <c r="L297" i="10"/>
  <c r="L296" i="10"/>
  <c r="L273" i="10"/>
  <c r="L294" i="10"/>
  <c r="L293" i="10"/>
  <c r="L292" i="10"/>
  <c r="L291" i="10"/>
  <c r="L272" i="10" l="1"/>
  <c r="L198" i="10"/>
  <c r="L288" i="10"/>
  <c r="L271" i="10" l="1"/>
  <c r="L285" i="10"/>
  <c r="L287" i="10"/>
  <c r="L270" i="10" l="1"/>
  <c r="L282" i="10" l="1"/>
  <c r="L254" i="10"/>
  <c r="L256" i="10"/>
  <c r="L277" i="10" l="1"/>
  <c r="L233" i="10"/>
  <c r="L238" i="10"/>
  <c r="L283" i="10"/>
  <c r="L281" i="10"/>
  <c r="L279" i="10"/>
  <c r="L278" i="10"/>
  <c r="L276" i="10" l="1"/>
  <c r="L220" i="10"/>
  <c r="L237" i="10"/>
  <c r="L266" i="10"/>
  <c r="L241" i="10"/>
  <c r="L229" i="10" l="1"/>
  <c r="L275" i="10" l="1"/>
  <c r="L269" i="10"/>
  <c r="L268" i="10"/>
  <c r="L274" i="10"/>
  <c r="L236" i="10"/>
  <c r="L231" i="10"/>
  <c r="L267" i="10"/>
  <c r="L265" i="10"/>
  <c r="L264" i="10" l="1"/>
  <c r="L263" i="10"/>
  <c r="L262" i="10"/>
  <c r="L261" i="10"/>
  <c r="L260" i="10"/>
  <c r="L259" i="10"/>
  <c r="L258" i="10" l="1"/>
  <c r="L257" i="10"/>
  <c r="L235" i="10"/>
  <c r="L138" i="10"/>
  <c r="L226" i="10"/>
  <c r="L255" i="10"/>
  <c r="L243" i="10"/>
  <c r="L253" i="10"/>
  <c r="L225" i="10" l="1"/>
  <c r="L224" i="10"/>
  <c r="L234" i="10"/>
  <c r="L252" i="10"/>
  <c r="L250" i="10"/>
  <c r="L251" i="10"/>
  <c r="L249" i="10"/>
  <c r="L248" i="10"/>
  <c r="L247" i="10"/>
  <c r="L246" i="10"/>
  <c r="L223" i="10"/>
  <c r="L168" i="10"/>
  <c r="L205" i="10"/>
  <c r="L245" i="10"/>
  <c r="L244" i="10"/>
  <c r="L242" i="10" l="1"/>
  <c r="L240" i="10"/>
  <c r="L239" i="10"/>
  <c r="L232" i="10"/>
  <c r="L230" i="10"/>
  <c r="L228" i="10" l="1"/>
  <c r="L227" i="10"/>
  <c r="L222" i="10"/>
  <c r="L221" i="10"/>
  <c r="L219" i="10"/>
  <c r="L218" i="10"/>
  <c r="L217" i="10"/>
  <c r="L216" i="10" l="1"/>
  <c r="L215" i="10"/>
  <c r="L191" i="10"/>
  <c r="L214" i="10"/>
  <c r="L213" i="10"/>
  <c r="L212" i="10"/>
  <c r="L211" i="10"/>
  <c r="L210" i="10"/>
  <c r="L209" i="10"/>
  <c r="L208" i="10" l="1"/>
  <c r="L196" i="10"/>
  <c r="L197" i="10"/>
  <c r="L203" i="10"/>
  <c r="L202" i="10"/>
  <c r="L200" i="10"/>
  <c r="L193" i="10"/>
  <c r="L201" i="10"/>
  <c r="L190" i="10"/>
  <c r="L189" i="10"/>
  <c r="L199" i="10"/>
  <c r="L102" i="10" l="1"/>
  <c r="L101" i="10"/>
  <c r="L156" i="10"/>
  <c r="L195" i="10"/>
  <c r="L194" i="10"/>
  <c r="L192" i="10"/>
  <c r="L188" i="10"/>
  <c r="L187" i="10"/>
  <c r="L185" i="10" l="1"/>
  <c r="L184" i="10"/>
  <c r="L183" i="10"/>
  <c r="L182" i="10"/>
  <c r="L152" i="10" l="1"/>
  <c r="L181" i="10"/>
  <c r="L174" i="10"/>
  <c r="L146" i="10"/>
  <c r="L171" i="10"/>
  <c r="L59" i="10" l="1"/>
  <c r="L180" i="10"/>
  <c r="L179" i="10"/>
  <c r="L178" i="10"/>
  <c r="L158" i="10"/>
  <c r="L177" i="10"/>
  <c r="L176" i="10"/>
  <c r="L175" i="10"/>
  <c r="L170" i="10"/>
  <c r="L173" i="10"/>
  <c r="L172" i="10"/>
  <c r="L169" i="10" l="1"/>
  <c r="L147" i="10"/>
  <c r="L155" i="10" l="1"/>
  <c r="L122" i="10"/>
  <c r="L121" i="10"/>
  <c r="L167" i="10"/>
  <c r="L154" i="10" l="1"/>
  <c r="L165" i="10"/>
  <c r="L164" i="10"/>
  <c r="L163" i="10"/>
  <c r="L162" i="10"/>
  <c r="L161" i="10"/>
  <c r="L160" i="10"/>
  <c r="L159" i="10"/>
  <c r="L157" i="10"/>
  <c r="L153" i="10" l="1"/>
  <c r="L151" i="10"/>
  <c r="L150" i="10"/>
  <c r="L149" i="10"/>
  <c r="L148" i="10"/>
  <c r="L141" i="10" l="1"/>
  <c r="L105" i="10"/>
  <c r="L123" i="10"/>
  <c r="L54" i="10"/>
  <c r="L145" i="10"/>
  <c r="L136" i="10"/>
  <c r="L144" i="10"/>
  <c r="L143" i="10"/>
  <c r="L142" i="10"/>
  <c r="L140" i="10"/>
  <c r="L137" i="10"/>
  <c r="L135" i="10"/>
  <c r="L58" i="10" l="1"/>
  <c r="L133" i="10"/>
  <c r="L129" i="10" l="1"/>
  <c r="L132" i="10"/>
  <c r="L131" i="10" l="1"/>
  <c r="L130" i="10"/>
  <c r="L128" i="10"/>
  <c r="L127" i="10"/>
  <c r="L98" i="10" l="1"/>
  <c r="L99" i="10"/>
  <c r="L126" i="10" l="1"/>
  <c r="L125" i="10"/>
  <c r="L116" i="10"/>
  <c r="L117" i="10"/>
  <c r="L124" i="10"/>
  <c r="L87" i="10" l="1"/>
  <c r="L90" i="10"/>
  <c r="L82" i="10"/>
  <c r="L120" i="10"/>
  <c r="L119" i="10"/>
  <c r="L118" i="10" l="1"/>
  <c r="L115" i="10"/>
  <c r="L114" i="10"/>
  <c r="L113" i="10"/>
  <c r="L112" i="10"/>
  <c r="L108" i="10"/>
  <c r="L94" i="10" l="1"/>
  <c r="L96" i="10"/>
  <c r="L107" i="10"/>
  <c r="L106" i="10"/>
  <c r="L104" i="10"/>
  <c r="L103" i="10"/>
  <c r="L100" i="10"/>
  <c r="L77" i="10" l="1"/>
  <c r="E17" i="10" l="1"/>
  <c r="L97" i="10"/>
  <c r="L95" i="10"/>
  <c r="L93" i="10"/>
  <c r="L92" i="10" l="1"/>
  <c r="L89" i="10"/>
  <c r="L91" i="10"/>
  <c r="L47" i="10"/>
  <c r="L88" i="10"/>
  <c r="L70" i="10" l="1"/>
  <c r="L86" i="10"/>
  <c r="L85" i="10"/>
  <c r="L84" i="10"/>
  <c r="L80" i="10"/>
  <c r="L83" i="10"/>
  <c r="L81" i="10"/>
  <c r="L79" i="10"/>
  <c r="L78" i="10"/>
  <c r="L48" i="10" l="1"/>
  <c r="L51" i="10"/>
  <c r="L76" i="10" l="1"/>
  <c r="L69" i="10" l="1"/>
  <c r="L68" i="10"/>
  <c r="L75" i="10"/>
  <c r="L74" i="10"/>
  <c r="L73" i="10"/>
  <c r="L72" i="10"/>
  <c r="L71" i="10"/>
  <c r="L67" i="10"/>
  <c r="L65" i="10"/>
  <c r="L66" i="10"/>
  <c r="L64" i="10"/>
  <c r="L62" i="10" l="1"/>
  <c r="L63" i="10"/>
  <c r="L61" i="10"/>
  <c r="L60" i="10"/>
  <c r="L41" i="10" l="1"/>
  <c r="L57" i="10"/>
  <c r="L56" i="10"/>
  <c r="L55" i="10"/>
  <c r="L50" i="10"/>
  <c r="L53" i="10"/>
  <c r="L52" i="10"/>
  <c r="L42" i="10" l="1"/>
  <c r="L49" i="10" l="1"/>
  <c r="L46" i="10" l="1"/>
  <c r="L43" i="10"/>
  <c r="L38" i="10"/>
  <c r="L37" i="10"/>
  <c r="L36" i="10"/>
  <c r="L33" i="10" l="1"/>
  <c r="L40" i="10"/>
  <c r="L39" i="10"/>
  <c r="L35" i="10"/>
  <c r="L31" i="10"/>
  <c r="L34" i="10"/>
  <c r="L32" i="10" l="1"/>
  <c r="L30" i="10"/>
  <c r="L343" i="10" l="1"/>
  <c r="D17" i="10"/>
  <c r="D19" i="10" s="1"/>
  <c r="E16" i="10" l="1"/>
  <c r="E19" i="10" s="1"/>
  <c r="F25" i="10" l="1"/>
  <c r="D25" i="10"/>
  <c r="E24" i="10" l="1"/>
  <c r="E26" i="10" s="1"/>
  <c r="D24" i="10"/>
  <c r="D26" i="10" s="1"/>
  <c r="F18" i="10" l="1"/>
  <c r="F19" i="10" s="1"/>
  <c r="F24" i="10" s="1"/>
</calcChain>
</file>

<file path=xl/sharedStrings.xml><?xml version="1.0" encoding="utf-8"?>
<sst xmlns="http://schemas.openxmlformats.org/spreadsheetml/2006/main" count="1701" uniqueCount="818">
  <si>
    <t xml:space="preserve">ОТЧЕТ «Подари детям Жизнь» </t>
  </si>
  <si>
    <t>Дети</t>
  </si>
  <si>
    <t>Имя</t>
  </si>
  <si>
    <t>Год рождения</t>
  </si>
  <si>
    <t>Диагноз</t>
  </si>
  <si>
    <t>Дата операции</t>
  </si>
  <si>
    <t>Клиника</t>
  </si>
  <si>
    <t xml:space="preserve">Спонсоры </t>
  </si>
  <si>
    <t xml:space="preserve">Курс валюты на день оплаты </t>
  </si>
  <si>
    <t>Дата оплаты</t>
  </si>
  <si>
    <t>9 000 USD</t>
  </si>
  <si>
    <t>"Центр Тяжести", 2009</t>
  </si>
  <si>
    <t>Всего детей</t>
  </si>
  <si>
    <t>KZT</t>
  </si>
  <si>
    <t>5 000 USD</t>
  </si>
  <si>
    <t>Сеул (Корея), Клиника Lim Dong</t>
  </si>
  <si>
    <t>ПДЖ</t>
  </si>
  <si>
    <t>Сумма в тенге</t>
  </si>
  <si>
    <t>5 500 USD</t>
  </si>
  <si>
    <t>Партнёры (фонды и компании), 2007- 2010</t>
  </si>
  <si>
    <t>"Российский фонд Помощи", 2009-2010</t>
  </si>
  <si>
    <t>Частные спонсоры, 2007-2012</t>
  </si>
  <si>
    <r>
      <t xml:space="preserve">Операции/курсы лечения </t>
    </r>
    <r>
      <rPr>
        <sz val="10"/>
        <rFont val="Verdana"/>
        <family val="2"/>
        <charset val="204"/>
      </rPr>
      <t>(некоторые дети были прооперированы 2 и более раз)</t>
    </r>
  </si>
  <si>
    <t>Паппиломатоз гортани</t>
  </si>
  <si>
    <t>Папилломатоз гортани</t>
  </si>
  <si>
    <t>УФК по г.Москве ФГАУ ННПЦН им. Н.Н.Бурденко МЗ России</t>
  </si>
  <si>
    <t>Таскожа Айару</t>
  </si>
  <si>
    <t>Анапластическая эпиндиома</t>
  </si>
  <si>
    <t xml:space="preserve">Стоимость операции, валюта </t>
  </si>
  <si>
    <t>Бесплатные операции в рамках сотрудничества с фондом "ДОМ", 2009-2013</t>
  </si>
  <si>
    <t>Глиобластома 4 ст.</t>
  </si>
  <si>
    <t>Канатова Виктория</t>
  </si>
  <si>
    <t>Сейтбаттал Дамир</t>
  </si>
  <si>
    <t xml:space="preserve">Примечания: 
1.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
2. Сумма первой оплаты соответствует заключенному с клиникой договору и выставленному счету. В нашем текущем финансовом отчете эта промежуточная сумма выделена зеленым цветом. Эта сумма в ходе лечения может измениться – уменьшится или увеличиться (например, изменилось количество дней в реанимации, потребовались/не потребовались дополнительные анализы или препараты и т.д.).
Итоговая фактическая сумма расходов отражается в актах выполненных работ и по мере поступления документов от клиники вносится в наш финансовый отчет.  
3. Большинство оплат за лечение детей в зарубежные клиники производится в долларах. В период с 2007 по 2015 года наш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4. При выборе клиники мы ориентируемся на соотношение «качество-цена». Более высокая стоимость лечения в клинике не означает более высокого качества лечения. Почти половину стоимости лечения составляют непрямые расходы – проживание в клинике, оплата административных расходов клиники и т.д. (соответственно, в странах с более высоким уровнем заработных плат персонала эти расходы в разы выше, и не отражаются на качестве лечения). </t>
  </si>
  <si>
    <t>Цибизова Вероника</t>
  </si>
  <si>
    <t>Женис Шугыла</t>
  </si>
  <si>
    <t>Объемное образование левой гемисферы головного мозга</t>
  </si>
  <si>
    <t>Кос Universite Hospital</t>
  </si>
  <si>
    <t>Gaziosmanpasa HASTANESI</t>
  </si>
  <si>
    <t>2-х сторонняя атрезия слухового прохода, микротия</t>
  </si>
  <si>
    <t>Тастайбеков Динмухамед</t>
  </si>
  <si>
    <t>Всего со счёта ОФ "ДОМ" 2007 - 2018</t>
  </si>
  <si>
    <t>ВСЕГО ПО АКЦИИ "ПОДАРИ ДЕТЯМ ЖИЗНЬ" 2007 - 2018</t>
  </si>
  <si>
    <t>Кол-во операций в 2018</t>
  </si>
  <si>
    <t>Кол-во операций 2007 -2018</t>
  </si>
  <si>
    <t>2018, 2 операция (доплата)</t>
  </si>
  <si>
    <t>09.01.2018г.</t>
  </si>
  <si>
    <t>2018, доплата</t>
  </si>
  <si>
    <t>Шмендель Кирилл</t>
  </si>
  <si>
    <t>образование левой лобной доли</t>
  </si>
  <si>
    <t>2 150 USD</t>
  </si>
  <si>
    <t>2018, 3 операция</t>
  </si>
  <si>
    <t>10.01.2018г.</t>
  </si>
  <si>
    <t>7 259 USD</t>
  </si>
  <si>
    <t>15.01.2018г.</t>
  </si>
  <si>
    <t>2018, 2 операция</t>
  </si>
  <si>
    <t>Каркенова Диана</t>
  </si>
  <si>
    <t>УФК по Тюменской области  ФГБУ ФЦН МЗ России</t>
  </si>
  <si>
    <t>16.01.2018г.</t>
  </si>
  <si>
    <t>Витамин В12 дефицитное состояние</t>
  </si>
  <si>
    <t>ВСЕГО ЗА 2018</t>
  </si>
  <si>
    <t>104 000 RUB</t>
  </si>
  <si>
    <t>17.01.2018г.</t>
  </si>
  <si>
    <t>6 100 USD</t>
  </si>
  <si>
    <t>АО "Самрук-Казына"</t>
  </si>
  <si>
    <t>25.01.2018г.</t>
  </si>
  <si>
    <t>9 900 USD</t>
  </si>
  <si>
    <t>30.01.2018г.</t>
  </si>
  <si>
    <t>3 800 USD</t>
  </si>
  <si>
    <t>Муктаева Амина</t>
  </si>
  <si>
    <t>Фокальная эпилепсия,гипотериоз тяжелой формы</t>
  </si>
  <si>
    <t>2018, 3 курс/леч.</t>
  </si>
  <si>
    <t>3 500 USD</t>
  </si>
  <si>
    <t>Кабулов Алихан</t>
  </si>
  <si>
    <t>Fondation Asile des aveugles</t>
  </si>
  <si>
    <t>Ретинобластома</t>
  </si>
  <si>
    <t>22.01.2018г.</t>
  </si>
  <si>
    <t>Булкаиров Рамазан</t>
  </si>
  <si>
    <t>2018 ,         2 курс/леч.</t>
  </si>
  <si>
    <t>Non-profit organization Center for alternative methods</t>
  </si>
  <si>
    <t xml:space="preserve"> 528 ЕUR</t>
  </si>
  <si>
    <t>Данияр Даяна</t>
  </si>
  <si>
    <t xml:space="preserve">ГБУЗ ДГКБ 13 им.Н.Ф.Филатова ДЗМ </t>
  </si>
  <si>
    <t>26.01.2018г.</t>
  </si>
  <si>
    <t>ВПР, бронхо-легочной системы</t>
  </si>
  <si>
    <t>ПДЖ , в т.ч. - ТОО "АиДа Медикус" -         722 000 тг.</t>
  </si>
  <si>
    <t>ПДЖ , в т.ч. -    АО "Байтерек девелопмент" - 850 000 тг.,     ТОО "BAU Group" - 1 554 131 тг.</t>
  </si>
  <si>
    <t>ПДЖ , в т.ч.оплачено за счет смс пожертвований абонентов Кселл - 354 250 тг.</t>
  </si>
  <si>
    <t>2 527 RUB</t>
  </si>
  <si>
    <t>Бурдакова Виктория</t>
  </si>
  <si>
    <t>Распространенная склеродермия</t>
  </si>
  <si>
    <t>2018, 5 курс/леч.</t>
  </si>
  <si>
    <t xml:space="preserve">УФК по г.Санкт-Петербургу (ФГБОУ ВО СПбГПМУ МЗ России) </t>
  </si>
  <si>
    <t>51 720 RUB</t>
  </si>
  <si>
    <t>05.02.2018г.</t>
  </si>
  <si>
    <t>Муширали Амина</t>
  </si>
  <si>
    <t> Идиопатический митохондриальный лимбический энцефалит (верификация диагноза)</t>
  </si>
  <si>
    <t>ООО "Генотек"</t>
  </si>
  <si>
    <t>44 990 RUB</t>
  </si>
  <si>
    <t>06.02.2018г.</t>
  </si>
  <si>
    <t>07.02.2018г.</t>
  </si>
  <si>
    <t>Довронов Алана</t>
  </si>
  <si>
    <t> Синдром Сильвера-Рассела(нужна верификация диагноза)</t>
  </si>
  <si>
    <t>Medipolitan Saglik Hizmetleri AS.</t>
  </si>
  <si>
    <t>Абдыкадыр Айдана</t>
  </si>
  <si>
    <t>Ретинопатия недоношенных 5 ст</t>
  </si>
  <si>
    <t>УФК по Ленинградской обл. ЛОГБУЗ ДКБ</t>
  </si>
  <si>
    <t>123 678,59 RUB</t>
  </si>
  <si>
    <t>Турашбеков Жасурбек</t>
  </si>
  <si>
    <t>129 204,26 RUB</t>
  </si>
  <si>
    <t>2018,          1 операция</t>
  </si>
  <si>
    <t>Джанабай Аяулым</t>
  </si>
  <si>
    <t>115 450 RUB</t>
  </si>
  <si>
    <t>4 700 USD</t>
  </si>
  <si>
    <t>Мухамедали Насихат</t>
  </si>
  <si>
    <t>установка баклофеновой помпы</t>
  </si>
  <si>
    <t>2 000 USD</t>
  </si>
  <si>
    <t>12.02.2018г.</t>
  </si>
  <si>
    <t>2018, 2 этап/леч.</t>
  </si>
  <si>
    <t>13.02.2018г.</t>
  </si>
  <si>
    <t>Азаматулы Ерхан</t>
  </si>
  <si>
    <t>врожденный кифосколиоз грудопоясничного отдела позвоночника</t>
  </si>
  <si>
    <t>Ахметова Даяна</t>
  </si>
  <si>
    <t>2018, 4 курс/леч.</t>
  </si>
  <si>
    <t>ИП Лоскутова Н.Л. (частный медицинский центр)</t>
  </si>
  <si>
    <t>71 705 RUB</t>
  </si>
  <si>
    <t>14.02.2018г.</t>
  </si>
  <si>
    <t>Сандибек Алимхан</t>
  </si>
  <si>
    <t>Паппиломатоз гортани </t>
  </si>
  <si>
    <t>2018, 6 операция</t>
  </si>
  <si>
    <t>15.02.2018г.</t>
  </si>
  <si>
    <t>16.02.2018г.</t>
  </si>
  <si>
    <t>Аманбек Абдирасул</t>
  </si>
  <si>
    <t>7 000 USD</t>
  </si>
  <si>
    <t>Нурсалханов Султан</t>
  </si>
  <si>
    <t>Недеферинцированная нейробластома правого надпочечника с инвазией в печень</t>
  </si>
  <si>
    <t>21.02.2018г.</t>
  </si>
  <si>
    <t>Классен Николай</t>
  </si>
  <si>
    <t>Постожоговые рубцы,пересадка кожи</t>
  </si>
  <si>
    <t>6 000 USD</t>
  </si>
  <si>
    <t>Тилекулы Озатжан</t>
  </si>
  <si>
    <t>118 669,33 RUB</t>
  </si>
  <si>
    <t>Кенжебай Адил</t>
  </si>
  <si>
    <t>117 516,67 RUB</t>
  </si>
  <si>
    <t>Мубаракова Жансая</t>
  </si>
  <si>
    <t>Ерсайын Санжар</t>
  </si>
  <si>
    <t>114 984,67 RUB</t>
  </si>
  <si>
    <t>Жаксылык Абдырахман</t>
  </si>
  <si>
    <t>105 901,67 RUB</t>
  </si>
  <si>
    <t>Оразали Аида</t>
  </si>
  <si>
    <t>Муковисцидоз,смешанная форма</t>
  </si>
  <si>
    <t>УФК по г.Москве ФГАУ НМИЦ здоровья детей МЗ России</t>
  </si>
  <si>
    <t>23.02.2018г.</t>
  </si>
  <si>
    <t>3 000 USD</t>
  </si>
  <si>
    <t>Soonchunhyang University Bucheon Hospital                          г.Сеул, Корея</t>
  </si>
  <si>
    <t>Nangang Sacred Heart,             г.Сеул, Корея</t>
  </si>
  <si>
    <t>фонд                     "Жандану Әлемі"</t>
  </si>
  <si>
    <t>ПДЖ, в т.ч. -             5 500 USD  АО "Фридом Финанс" Благотворительность вместо сувениров</t>
  </si>
  <si>
    <t>фонд               "Жандану Әлемі"</t>
  </si>
  <si>
    <t>ПДЖ, в т.ч. -      12 800 USD     фонд               "Жандану Әлемі"</t>
  </si>
  <si>
    <t>фонд                   "Жандану Әлемі"</t>
  </si>
  <si>
    <t>фонд                  "Жандану Әлемі"</t>
  </si>
  <si>
    <t>131 935 RUB</t>
  </si>
  <si>
    <t>ПДЖ, в т.ч. -       181 022 тг.       АО                         "Фридом Финанс" Благотворительность вместо сувениров</t>
  </si>
  <si>
    <t>Латыпова Анастасия</t>
  </si>
  <si>
    <t>Дисфункция коры надпочечников</t>
  </si>
  <si>
    <t>ФГБУ РДКБ МЗ России</t>
  </si>
  <si>
    <t>61 970 RUB</t>
  </si>
  <si>
    <t>31.01.2018г.</t>
  </si>
  <si>
    <t>Сайлаубай Динмухамед</t>
  </si>
  <si>
    <t>Нейрофиброматоз с поражением среднего мозга,базальных ганглиев</t>
  </si>
  <si>
    <t>2 500 USD</t>
  </si>
  <si>
    <t>Жумабаева Анель</t>
  </si>
  <si>
    <t>55 322 RUB</t>
  </si>
  <si>
    <t>02.03.2018г.</t>
  </si>
  <si>
    <t>Ердаулет Абылай</t>
  </si>
  <si>
    <t>Ретинопатия 5 степени</t>
  </si>
  <si>
    <t>113 511,17 RUB</t>
  </si>
  <si>
    <t>Макаренко Артем</t>
  </si>
  <si>
    <t>Эквино-варусная деформация обеих стоп</t>
  </si>
  <si>
    <t>2018, 1 операция</t>
  </si>
  <si>
    <t>ООО "Гименей"</t>
  </si>
  <si>
    <t>43 000 RUB</t>
  </si>
  <si>
    <t>частный спонсор</t>
  </si>
  <si>
    <t>07.03.2018г.</t>
  </si>
  <si>
    <t>Макаренко Никита</t>
  </si>
  <si>
    <t>Абитай Инкар</t>
  </si>
  <si>
    <t xml:space="preserve">Yuncheng research institute of scalp hospital </t>
  </si>
  <si>
    <t>12.03.2018г.</t>
  </si>
  <si>
    <t>Фахрутдинов Матвей</t>
  </si>
  <si>
    <t>108 041,67 RUB</t>
  </si>
  <si>
    <t>2018, 7 курс/леч.</t>
  </si>
  <si>
    <t>Корпоративный фонд "Единая семья"</t>
  </si>
  <si>
    <t>13.03.2018г.</t>
  </si>
  <si>
    <t>7 172 USD</t>
  </si>
  <si>
    <t>16.03.2018г.</t>
  </si>
  <si>
    <t>5 800 USD</t>
  </si>
  <si>
    <t>15.03.2018г.</t>
  </si>
  <si>
    <t>Андрейченко Анна</t>
  </si>
  <si>
    <t>Синдактилия обеих кистей</t>
  </si>
  <si>
    <t>УФК по г. С-Петербург ФГБУ НИДОИ им.Г.И.Турнера, Минздрава России</t>
  </si>
  <si>
    <t>36 170 RUB</t>
  </si>
  <si>
    <t>Молдабекова Айлин</t>
  </si>
  <si>
    <t>ВПР.ЖКТ.Гастрошизис</t>
  </si>
  <si>
    <t>2018, 2 курс/леч.</t>
  </si>
  <si>
    <t>438 000 RUB</t>
  </si>
  <si>
    <t>Вострецов Дмитрий</t>
  </si>
  <si>
    <t>Атаксия-телеангиоэктазия</t>
  </si>
  <si>
    <t xml:space="preserve">Yuncheng city second peoples hospital of yanhu district </t>
  </si>
  <si>
    <t>3 763 USD</t>
  </si>
  <si>
    <t>19.03.2018г.</t>
  </si>
  <si>
    <t>14 250 RUB</t>
  </si>
  <si>
    <t>20.03.2018г.</t>
  </si>
  <si>
    <t>Сабитов Шынгыс</t>
  </si>
  <si>
    <t>Несовершенный остеогенез</t>
  </si>
  <si>
    <t>225 000 RUB</t>
  </si>
  <si>
    <t>27.03.2018г.</t>
  </si>
  <si>
    <t>Нуржанкызы Акбаян</t>
  </si>
  <si>
    <t>Ахондроплазия,укорочение верхних и нижних конечностей</t>
  </si>
  <si>
    <t>LTD LADISTEN. Киев, Украина</t>
  </si>
  <si>
    <t>28.03.2018г.</t>
  </si>
  <si>
    <t>Постинтубационный стеноз гортани. Канюленоситель </t>
  </si>
  <si>
    <t>Бахыт Абилмансур</t>
  </si>
  <si>
    <t>Кошкинбай Нурым</t>
  </si>
  <si>
    <t>Нейрофиброматоз 1 тип</t>
  </si>
  <si>
    <t>ООО Генотек</t>
  </si>
  <si>
    <t>Фишер Елизавета</t>
  </si>
  <si>
    <t>Последствие гематогенного остеомелита,альгусная деформация коленного сустава</t>
  </si>
  <si>
    <t>УФК по г.Курганской области ФГБУ РНЦ ВТО им.академика Г.А.Илизарова</t>
  </si>
  <si>
    <t>44 090 RUB</t>
  </si>
  <si>
    <t>26.02.2018г.</t>
  </si>
  <si>
    <t>Абдуллаева Алуа</t>
  </si>
  <si>
    <t>Муковисцидоз смешанная форма</t>
  </si>
  <si>
    <t>УФК по г.Москве ФГАУ НЦЗД МЗ России</t>
  </si>
  <si>
    <t>136 985 RUB</t>
  </si>
  <si>
    <t>30.03.2018г.</t>
  </si>
  <si>
    <t>Абдуллаева Аделя</t>
  </si>
  <si>
    <t>174 035 RUB</t>
  </si>
  <si>
    <t>Абдуллаева Алана</t>
  </si>
  <si>
    <t>168 935 RUB</t>
  </si>
  <si>
    <t>Жанысбек Дарын</t>
  </si>
  <si>
    <t>Xi An Brain Disease Hospital Of TCM</t>
  </si>
  <si>
    <t>09.04.2018г.</t>
  </si>
  <si>
    <t>Наразбай Диас</t>
  </si>
  <si>
    <t>1 376 USD</t>
  </si>
  <si>
    <t>Медуллобластома ЗЧЯ </t>
  </si>
  <si>
    <t>Сайлаубай Альмансур</t>
  </si>
  <si>
    <t>ООО ЛДЦ МИБС</t>
  </si>
  <si>
    <t>330 000 RUB</t>
  </si>
  <si>
    <t>Генетическая эпилепсия,мутация гена STXB1</t>
  </si>
  <si>
    <t xml:space="preserve">УФК по г.Санкт-Петербургу (ФГБУ НМИЦ ПН им.В.М.Бехтерева МЗ России) </t>
  </si>
  <si>
    <t>111 530,84 RUB</t>
  </si>
  <si>
    <t>Тиль Валерия</t>
  </si>
  <si>
    <t>ООО МИФРМ</t>
  </si>
  <si>
    <t>18 200 RUB</t>
  </si>
  <si>
    <t xml:space="preserve">2018, 2 операция </t>
  </si>
  <si>
    <t>Редпрайс</t>
  </si>
  <si>
    <t>Фроловский Даниил</t>
  </si>
  <si>
    <t>Гришина Кира</t>
  </si>
  <si>
    <t>Врожденный порок сердца. Единственный одноприточный правый желудочек сердца. Атрезия митрального клапана. Транспозиция магистральных сосудов. </t>
  </si>
  <si>
    <t>УФК по Новосибирской обл. ФГБУ НМИЦ им.академика Е.Н.Мешалкина МЗ России</t>
  </si>
  <si>
    <t>500 000 RUB</t>
  </si>
  <si>
    <t>10.04.2018г.</t>
  </si>
  <si>
    <t>11.04.2018г.</t>
  </si>
  <si>
    <t>Кушкинбай Айдина</t>
  </si>
  <si>
    <t>101 468,17 RUB</t>
  </si>
  <si>
    <t>12.04.2018г.</t>
  </si>
  <si>
    <t>110 961,17 RUB</t>
  </si>
  <si>
    <t>Ерген Нурлан</t>
  </si>
  <si>
    <t>2018, 5 операция</t>
  </si>
  <si>
    <t xml:space="preserve">Ретинопатия недоношенных </t>
  </si>
  <si>
    <t>117 998,18 RUB</t>
  </si>
  <si>
    <t>Отеген Алинур</t>
  </si>
  <si>
    <t>Ералы Кудайберген</t>
  </si>
  <si>
    <t>120 548,18 RUB</t>
  </si>
  <si>
    <t>Шацкая Валерия</t>
  </si>
  <si>
    <t>116 200,17 RUB</t>
  </si>
  <si>
    <t>13.04.2018г.</t>
  </si>
  <si>
    <t>КФ "Благотворительный фонд "Рахат - Демеу"</t>
  </si>
  <si>
    <t>16.04.2018г.</t>
  </si>
  <si>
    <t>Серик Жанторе</t>
  </si>
  <si>
    <t> Поствоспалительный некроз носа,верхней губы. Нома носа(требуется верификация диагноза)</t>
  </si>
  <si>
    <t>4 250 USD</t>
  </si>
  <si>
    <t>Алибеков Санжар</t>
  </si>
  <si>
    <t>Сахарный диабет неутонченный тип</t>
  </si>
  <si>
    <t>Асылбаева Саида</t>
  </si>
  <si>
    <t>Фиброзная дисплазия,врожденный ложный сустав нижней трети правой голени</t>
  </si>
  <si>
    <t>АНО клиника травматологии,ортопедии и нейрохирургии НИИТО</t>
  </si>
  <si>
    <t>20.04.2018г.</t>
  </si>
  <si>
    <t>ПДЖ, в т.ч. -      24 000 USD частный спонсор</t>
  </si>
  <si>
    <t>1 000 RUB</t>
  </si>
  <si>
    <t>66 960 RUB</t>
  </si>
  <si>
    <t>158 863,24 RUB</t>
  </si>
  <si>
    <t>Ушурова Амина</t>
  </si>
  <si>
    <t>2018, 6 курс/леч.</t>
  </si>
  <si>
    <t>ООО Кия</t>
  </si>
  <si>
    <t>23 636 RUB</t>
  </si>
  <si>
    <t>27.04.2018г.</t>
  </si>
  <si>
    <t>112 502,18 RUB</t>
  </si>
  <si>
    <t>02.05.2018г.</t>
  </si>
  <si>
    <t>Садвакасов Дамир</t>
  </si>
  <si>
    <t>110 405,84 RUB</t>
  </si>
  <si>
    <t>Григорьева Вероника</t>
  </si>
  <si>
    <t>2018, 7 операция</t>
  </si>
  <si>
    <t>68 299 RUB</t>
  </si>
  <si>
    <t>ПДЖ, в т.ч. - ТОО "Centrasia Trade" - 3 326 800 тг.</t>
  </si>
  <si>
    <t xml:space="preserve">ПДЖ, в т.ч. -      412 000 тг.  ТОО "BAU Group" </t>
  </si>
  <si>
    <t>ПДЖ, в т.ч. -    400 000 тг. ТОО "Global Wine and Spirits"</t>
  </si>
  <si>
    <t>ПДЖ, в т.ч. -    170 000 тг. ТОО "Цемзавод-транс"</t>
  </si>
  <si>
    <t xml:space="preserve">ПДЖ, в т.ч. -      396 845 тг. ТОО "УК "Қазмедиа орталығы" </t>
  </si>
  <si>
    <t xml:space="preserve">ПДЖ, в т.ч. -      266 319 тг. ТОО "Управляющая компания "Казмедиа Орталығы" </t>
  </si>
  <si>
    <t>Азамат Аяулым</t>
  </si>
  <si>
    <t>Субтотальная отслойка сетчатой оболочки с витреоретинальной пролиферцией микрофтальм</t>
  </si>
  <si>
    <t>2018, 4 операция</t>
  </si>
  <si>
    <t>119 708,51 RUB</t>
  </si>
  <si>
    <t>10.05.2018г.</t>
  </si>
  <si>
    <t>Кенесбай Амантай</t>
  </si>
  <si>
    <t>111 652,50 RUB</t>
  </si>
  <si>
    <t>Ауесханулы Айбек</t>
  </si>
  <si>
    <t>141 324,50 RUB</t>
  </si>
  <si>
    <t>Габдылкарим Асылым</t>
  </si>
  <si>
    <t>125 463,50 RUB</t>
  </si>
  <si>
    <t>Сисенбай Нариман</t>
  </si>
  <si>
    <t>120 792,50 RUB</t>
  </si>
  <si>
    <t>Басмурзина Амира</t>
  </si>
  <si>
    <t>115 221,50 RUB</t>
  </si>
  <si>
    <t>Попова Валерия</t>
  </si>
  <si>
    <t>Атрофия дисков зрительных нервов</t>
  </si>
  <si>
    <t>УФК по Республике Башкортостан ФГБУ ВЦГПХ МЗ России</t>
  </si>
  <si>
    <t>108 278,50 RUB</t>
  </si>
  <si>
    <t>ПДЖ, в т.ч. -      175 615 тг. КазГосЖенПУ</t>
  </si>
  <si>
    <t>ДБ АО "Сбербанк"</t>
  </si>
  <si>
    <t>1 850 USD</t>
  </si>
  <si>
    <t>Буртаева Аида</t>
  </si>
  <si>
    <t>ВПС,атрезия легочной артерии4 типа,НК2,ФЛ3</t>
  </si>
  <si>
    <t>Government institution The scien-pract childrens cardiac center</t>
  </si>
  <si>
    <t>6 000 ЕUR</t>
  </si>
  <si>
    <t>15.05.2018г.</t>
  </si>
  <si>
    <t>Нурлыбай Акнур</t>
  </si>
  <si>
    <t>Ганглионейробластома</t>
  </si>
  <si>
    <t>Аскеров Ибрагим</t>
  </si>
  <si>
    <t>Врожденный гиперинсинулизм,перестирующая форма</t>
  </si>
  <si>
    <t>Odense University Hospital</t>
  </si>
  <si>
    <t>5 000 ЕUR</t>
  </si>
  <si>
    <t>8 000 ЕUR</t>
  </si>
  <si>
    <t>16.05.2018г.</t>
  </si>
  <si>
    <t>7 700 ЕUR</t>
  </si>
  <si>
    <t>17.05.2018г.</t>
  </si>
  <si>
    <t>4 045,13 ЕUR</t>
  </si>
  <si>
    <t>Масалим Бимади</t>
  </si>
  <si>
    <t>Операция установки баклофеновой помпы</t>
  </si>
  <si>
    <t>900 USD</t>
  </si>
  <si>
    <t>3 892,65 USD</t>
  </si>
  <si>
    <t>неврология</t>
  </si>
  <si>
    <t>74 090 RUB</t>
  </si>
  <si>
    <t>109 792,50 RUB</t>
  </si>
  <si>
    <t>21.05.2018г.</t>
  </si>
  <si>
    <t>Парфенова Анастасия</t>
  </si>
  <si>
    <t>артрогрипоз верхних конечностей</t>
  </si>
  <si>
    <t>Атотберген Санжар</t>
  </si>
  <si>
    <t>114 651,83 RUB</t>
  </si>
  <si>
    <t>23.05.2018г.</t>
  </si>
  <si>
    <t>Внукова Ольга</t>
  </si>
  <si>
    <t>Папиллярный рак щитовидной железы</t>
  </si>
  <si>
    <t>Министерство финансов Омской области БУЗОО ОКБ</t>
  </si>
  <si>
    <t>77 800 RUB</t>
  </si>
  <si>
    <t>Тарасенко Исмаил</t>
  </si>
  <si>
    <t>Неуточненный диагноз</t>
  </si>
  <si>
    <t>Рогова Дарья</t>
  </si>
  <si>
    <t>28.05.2018г.</t>
  </si>
  <si>
    <t>30.05.2018г.</t>
  </si>
  <si>
    <t>Джанаберды Алихан</t>
  </si>
  <si>
    <t>Артериовенозная мальформация левой височной доли,области базальных ганглиев,левой ножки мозга</t>
  </si>
  <si>
    <t>Пахомова Арина</t>
  </si>
  <si>
    <t>Артрогриппоз, плосковальгусная установка стоп тяжелой степени</t>
  </si>
  <si>
    <t>АНО Клиника травматологии,ортопедии и нейрохирургии НИИТО</t>
  </si>
  <si>
    <t>05.06.2018г.</t>
  </si>
  <si>
    <t>129 917,42 RUB</t>
  </si>
  <si>
    <t>06.06.2018г.</t>
  </si>
  <si>
    <t>Аллаберді Медина</t>
  </si>
  <si>
    <t>127 367,42 RUB</t>
  </si>
  <si>
    <t>Асылбек Айболат</t>
  </si>
  <si>
    <t>126 150,42 RUB</t>
  </si>
  <si>
    <t>Маханов Асылжан</t>
  </si>
  <si>
    <t>103 941,83 RUB</t>
  </si>
  <si>
    <t>Хисамутдинова Янина</t>
  </si>
  <si>
    <t>Обширный линейный невус</t>
  </si>
  <si>
    <t>Hadassah Medical Organization</t>
  </si>
  <si>
    <t>07.06.2018г.</t>
  </si>
  <si>
    <t>11.06.2018г.</t>
  </si>
  <si>
    <t>13.06.2018г.</t>
  </si>
  <si>
    <t>7 500 USD</t>
  </si>
  <si>
    <t>08.06.2018г.</t>
  </si>
  <si>
    <t>ПДЖ, в т.ч. - частный спонсор - 450 000 тг.</t>
  </si>
  <si>
    <t>ТОО «ВТЦ «Тяжпрессмаш»</t>
  </si>
  <si>
    <t>Атабай Айгерим</t>
  </si>
  <si>
    <t>врожденная дисфункция коры надпочечников</t>
  </si>
  <si>
    <t>РДКБ ФГБОУ ВО РНИМУ им. Н.И.Пирогова Минздрава России</t>
  </si>
  <si>
    <t>38 220 RUB</t>
  </si>
  <si>
    <t>15.06.2018г.</t>
  </si>
  <si>
    <t>Тулендиева Камила</t>
  </si>
  <si>
    <t>46 240 RUB</t>
  </si>
  <si>
    <t>Тулендиев Дулат</t>
  </si>
  <si>
    <t>Хроническая надпочечниковая недостаточность,сольтеряющая форма</t>
  </si>
  <si>
    <t>60 770 RUB</t>
  </si>
  <si>
    <t>18.06.2018г.</t>
  </si>
  <si>
    <t>Белозубова Арина</t>
  </si>
  <si>
    <t>Мукополисахаридоз?   Склероз гипокампа слева (уточнение диагноза)</t>
  </si>
  <si>
    <t>219 314,94 RUB</t>
  </si>
  <si>
    <t>21.06.2018г.</t>
  </si>
  <si>
    <t>LEE JONG GIL Unicompas Co LTD</t>
  </si>
  <si>
    <t>Айтбаев Шохрияр</t>
  </si>
  <si>
    <t>ВПС, двойное отхождение сосудов</t>
  </si>
  <si>
    <t xml:space="preserve">УФК по Томской области НИИ кардиологии </t>
  </si>
  <si>
    <t>22.06.2018г.</t>
  </si>
  <si>
    <t>434 190 RUB</t>
  </si>
  <si>
    <t>25.06.2018г.</t>
  </si>
  <si>
    <t>7 700 USD</t>
  </si>
  <si>
    <t>Елкина Анастасия</t>
  </si>
  <si>
    <t>Муковисцидоз смешанная форма </t>
  </si>
  <si>
    <t>УФК по г.Москве. ФГАУ НМИЦ здоровья детей МЗ России</t>
  </si>
  <si>
    <t>124 725 RUB</t>
  </si>
  <si>
    <t>28.06.2018г.</t>
  </si>
  <si>
    <t>41 800 RUB</t>
  </si>
  <si>
    <t>Бектурсынов Дамир</t>
  </si>
  <si>
    <t>Новообразование правой височной доли головного мозга</t>
  </si>
  <si>
    <t>Istanbul Memorial Saglik Yatirimlari A.S.</t>
  </si>
  <si>
    <t>9 200 USD</t>
  </si>
  <si>
    <t>15 778 RUB</t>
  </si>
  <si>
    <t>29.06.2018г.</t>
  </si>
  <si>
    <t>Муратбек Анэля</t>
  </si>
  <si>
    <t>123 600,42 RUB</t>
  </si>
  <si>
    <t>Айдархан Райана</t>
  </si>
  <si>
    <t>117 201,83 RUB</t>
  </si>
  <si>
    <t>Оразов Мейрамбек</t>
  </si>
  <si>
    <t>Ретинопатия 5 ст.Рубцовый птоз в/века</t>
  </si>
  <si>
    <t>117 780,41 RUB</t>
  </si>
  <si>
    <t>11 500 USD</t>
  </si>
  <si>
    <t>135 375,39 RUB</t>
  </si>
  <si>
    <t>20 614,92 RUB</t>
  </si>
  <si>
    <t>65 000 RUB</t>
  </si>
  <si>
    <t>02.07.2018г.</t>
  </si>
  <si>
    <t>41 000 RUB</t>
  </si>
  <si>
    <t>131 440 RUB</t>
  </si>
  <si>
    <t>Аман Ажар</t>
  </si>
  <si>
    <t>Мышечная дистрофия Эрба-Рота,генетика</t>
  </si>
  <si>
    <t>10.07.2018г.</t>
  </si>
  <si>
    <t>2018, обследование</t>
  </si>
  <si>
    <t>Каст Данил</t>
  </si>
  <si>
    <t>Торсионная мышечная дистония</t>
  </si>
  <si>
    <t>Алибеков Аймен</t>
  </si>
  <si>
    <t>ООО Реабилитационный центр Сакура</t>
  </si>
  <si>
    <t>9 000 RUB</t>
  </si>
  <si>
    <t>11.07.2018г.</t>
  </si>
  <si>
    <t>Асылхан Айсултан</t>
  </si>
  <si>
    <t>Опухоль левой ножки мозга</t>
  </si>
  <si>
    <t>Seoul National University Hospital</t>
  </si>
  <si>
    <t>1 285,92 USD</t>
  </si>
  <si>
    <t>17.07.2018г.</t>
  </si>
  <si>
    <t>Жуманов Ажей</t>
  </si>
  <si>
    <t>Врожденный множественный артрогрипоз,тугоподвижность обеих голеностопных стоп и лучезапястных суставов</t>
  </si>
  <si>
    <t>4 000 USD</t>
  </si>
  <si>
    <t>Смирнов Виктор</t>
  </si>
  <si>
    <t>160 655 RUB</t>
  </si>
  <si>
    <t>20.07.2018г.</t>
  </si>
  <si>
    <t>Муратбай Дана</t>
  </si>
  <si>
    <t>Муковисцидоз, ДН 2 степени</t>
  </si>
  <si>
    <t>Муковисцидоз</t>
  </si>
  <si>
    <t>191 135 RUB</t>
  </si>
  <si>
    <t>ПДЖ, в т.ч. -        1 000 000 тг., ТОО "Асатай"</t>
  </si>
  <si>
    <t>ПДЖ, в т.ч. -                300 000 тг., ТОО "PROF LAND"</t>
  </si>
  <si>
    <t>ИП "Аскербекова Айдана Ермековна"</t>
  </si>
  <si>
    <t>131 450 RUB</t>
  </si>
  <si>
    <t>43 070,47 CNY</t>
  </si>
  <si>
    <t>33 652,23 CNY</t>
  </si>
  <si>
    <t>Кушенева Камила</t>
  </si>
  <si>
    <t>Cerebral palsy jinzhong city federation of the disabled rehabil hospital</t>
  </si>
  <si>
    <t>24.07.2018г.</t>
  </si>
  <si>
    <t>Орынбаева Амира</t>
  </si>
  <si>
    <t>Хроническая надпочечная недостаточность,ВПР мочеполовой системы</t>
  </si>
  <si>
    <t>ФГБУ "Научный центр здоровья детей" РАМН г.Москва</t>
  </si>
  <si>
    <t>Бексултан Айша</t>
  </si>
  <si>
    <t>врожденный порок сердца</t>
  </si>
  <si>
    <t>7 000 EUR</t>
  </si>
  <si>
    <t>25.07.2018г.</t>
  </si>
  <si>
    <t>8 000 USD</t>
  </si>
  <si>
    <t>2 994,53 EUR</t>
  </si>
  <si>
    <t>Аборнева Карина</t>
  </si>
  <si>
    <t>Муковисцидоз,смешанная форма.</t>
  </si>
  <si>
    <t>190 215 RUB</t>
  </si>
  <si>
    <t>Сармурзаков Алимжан</t>
  </si>
  <si>
    <t> Мукополисахаридоз(синдром Хантера)</t>
  </si>
  <si>
    <t>Helios Dr. Horst Schmidt</t>
  </si>
  <si>
    <t>01.08.2018г.</t>
  </si>
  <si>
    <t>1 450 USD</t>
  </si>
  <si>
    <t>149 335 RUB</t>
  </si>
  <si>
    <t>20.06.2018г.</t>
  </si>
  <si>
    <t>в т.ч. - 8 000 USD                 частный спонсор</t>
  </si>
  <si>
    <t>112 246,75 RUB</t>
  </si>
  <si>
    <t>Усен Асыл</t>
  </si>
  <si>
    <t>Ретинопатия 5 ст</t>
  </si>
  <si>
    <t>106 491,83 RUB</t>
  </si>
  <si>
    <t>118 534,83 RUB</t>
  </si>
  <si>
    <t>Ережеп Куаныш</t>
  </si>
  <si>
    <t>105 274,83 RUB</t>
  </si>
  <si>
    <t>113 387,41 RUB</t>
  </si>
  <si>
    <t>Умитжанкызы Жасмина</t>
  </si>
  <si>
    <t>склерокорнея, тотальная воронкообразная отслойка сетчатки</t>
  </si>
  <si>
    <t>74 619 RUB</t>
  </si>
  <si>
    <t>5 050,67 EUR</t>
  </si>
  <si>
    <t>02.08.2018г.</t>
  </si>
  <si>
    <t>Бисембаева Сұлу</t>
  </si>
  <si>
    <t> Атрезия пищевода с ТПС.Носитель гастростомы</t>
  </si>
  <si>
    <t xml:space="preserve">ГБУЗ г.Москвы ДГКБ 13 им.Н.Ф.Филатова ДЗМ </t>
  </si>
  <si>
    <t>07.08.2018г.</t>
  </si>
  <si>
    <t>123 530 RUB</t>
  </si>
  <si>
    <t>32 000 RUB</t>
  </si>
  <si>
    <t>Мирамбекулы Мухамедканафия</t>
  </si>
  <si>
    <t>BioDevel Professional Ltd</t>
  </si>
  <si>
    <t>177 EUR</t>
  </si>
  <si>
    <t>14.08.2018г.</t>
  </si>
  <si>
    <t>Калиева Диляра</t>
  </si>
  <si>
    <t>Муковисцидоз легочная форма, ДН 2 степени</t>
  </si>
  <si>
    <t>УФК по г.Москве ФГАУ НМИЦЗД МЗ России</t>
  </si>
  <si>
    <t>140 325 RUB</t>
  </si>
  <si>
    <t>17.08.2018г.</t>
  </si>
  <si>
    <t>Илахунова Амина</t>
  </si>
  <si>
    <t>174 665 RUB</t>
  </si>
  <si>
    <t>Нуртай Руслана</t>
  </si>
  <si>
    <t>ХПН,ВПР мочеполовой системы </t>
  </si>
  <si>
    <t>УФК по г.Москве, ОСП РДКБ</t>
  </si>
  <si>
    <t>20.08.2018г.</t>
  </si>
  <si>
    <t>350 USD</t>
  </si>
  <si>
    <t>22.08.2018г.</t>
  </si>
  <si>
    <t>Набокина Ксения</t>
  </si>
  <si>
    <t>Daejin Medical Center Bundang Jesaeng General Hospital</t>
  </si>
  <si>
    <t>Халимова Галия</t>
  </si>
  <si>
    <t>ВПР кишечника,незавершенный поворот кишечника</t>
  </si>
  <si>
    <t>MLP Saglik Hizmetleri Anonim Sirketi</t>
  </si>
  <si>
    <t>23.08.2018г.</t>
  </si>
  <si>
    <t>ПДЖ, в т.ч. -        500 000 тг., ТОО "Interbrick-Astana"</t>
  </si>
  <si>
    <t>ПДЖ, в т.ч. -                  300 000 тг. ТОО "Ferrocarril"</t>
  </si>
  <si>
    <t>ПДЖ, в т.ч. -              182 000 тг.               КГУ ОШ  № 117</t>
  </si>
  <si>
    <t>ПДЖ, в т.ч. -  частный спонсор - 486 300 тг.,               100 000 тг.  ТОО "Цемзавод-Транс"</t>
  </si>
  <si>
    <t xml:space="preserve">ПДЖ, в т.ч. -               200 000 тг. ТОО «AVC Group» </t>
  </si>
  <si>
    <t>Еркебуланова Малика</t>
  </si>
  <si>
    <t>ВПС,операция Норвуда</t>
  </si>
  <si>
    <t>24.08.2018г.</t>
  </si>
  <si>
    <t>27.08.2018г.</t>
  </si>
  <si>
    <t>28.08.2018г.</t>
  </si>
  <si>
    <t>Марат Каусар</t>
  </si>
  <si>
    <t>ВПР носовых ходов(атрезия)ВПР гортани</t>
  </si>
  <si>
    <t>1 190 USD</t>
  </si>
  <si>
    <t>Сарсенбекова Ляйсан</t>
  </si>
  <si>
    <t>ВПР почек,нейрогенная дисфункция мочевого пузыря</t>
  </si>
  <si>
    <t>Акылжан Жаркын</t>
  </si>
  <si>
    <t>Дуйсембек Досай</t>
  </si>
  <si>
    <t>Неконтролируемая бронхиальная астма,тяжелое течение</t>
  </si>
  <si>
    <t>Hisar Saglik Hizmetleri Egitim Arastirma Tibbi Cihazlar Ticaret A.S.</t>
  </si>
  <si>
    <t>1 500 USD</t>
  </si>
  <si>
    <t>ПДЖ, в т.ч. частный спонсор - 1 109 600 тг.</t>
  </si>
  <si>
    <t>Жолдыбек Айсана</t>
  </si>
  <si>
    <t> Эпилепсия,генерализованные приступы,генетика</t>
  </si>
  <si>
    <t>ООО Геномед</t>
  </si>
  <si>
    <t>36 000 RUB</t>
  </si>
  <si>
    <t>03.09.2018г.</t>
  </si>
  <si>
    <t>Нурлибек Улжан</t>
  </si>
  <si>
    <t>Первичный иммунодифицит неуточненного генеза</t>
  </si>
  <si>
    <t>35 000 RUB</t>
  </si>
  <si>
    <t>ПДЖ, в т.ч. -       308 407 тг. частный спонсор</t>
  </si>
  <si>
    <t>700 USD</t>
  </si>
  <si>
    <t>6 500 USD</t>
  </si>
  <si>
    <t>11.09.2018г.</t>
  </si>
  <si>
    <t>12.09.2018г.</t>
  </si>
  <si>
    <t>122 880,41 RUB</t>
  </si>
  <si>
    <t>117 575,41 RUB</t>
  </si>
  <si>
    <t>121 739,75 RUB</t>
  </si>
  <si>
    <t>133 551,41 RUB</t>
  </si>
  <si>
    <t>123 147,58 RUB</t>
  </si>
  <si>
    <t>17.09.2018г.</t>
  </si>
  <si>
    <t>7 761 USD</t>
  </si>
  <si>
    <t>18.09.2018г.</t>
  </si>
  <si>
    <t>Макимов Адият</t>
  </si>
  <si>
    <t>Врожденная мальформация головного мозга,кортикальная дисплазия</t>
  </si>
  <si>
    <t>2 900 USD</t>
  </si>
  <si>
    <t>20.09.2018г.</t>
  </si>
  <si>
    <t>Гилаева Рания</t>
  </si>
  <si>
    <t> Синдром Элерса-Данло.(Генетика)</t>
  </si>
  <si>
    <t>3 839 USD</t>
  </si>
  <si>
    <t>ПДЖ, в т.ч. -        200 000 тг. ТОО «National security and communication"</t>
  </si>
  <si>
    <t>24.09.2018г.</t>
  </si>
  <si>
    <t>Карим Арлан</t>
  </si>
  <si>
    <t>151 014,41 RUB</t>
  </si>
  <si>
    <t>28.09.2018г.</t>
  </si>
  <si>
    <t>121 019,41 RUB</t>
  </si>
  <si>
    <t>Бектемир Нурмухаммед</t>
  </si>
  <si>
    <t>123 865,17 RUB</t>
  </si>
  <si>
    <t>Мурат Алибек</t>
  </si>
  <si>
    <t>Онласын Айдана</t>
  </si>
  <si>
    <t>120 330,41 RUB</t>
  </si>
  <si>
    <t>125 430,41 RUB</t>
  </si>
  <si>
    <t>Лавренчук Анастасия</t>
  </si>
  <si>
    <t>142 545,00 RUB</t>
  </si>
  <si>
    <t>Богачев Тимофей</t>
  </si>
  <si>
    <t>Липомиеломенингоцеле</t>
  </si>
  <si>
    <t>753,43 USD</t>
  </si>
  <si>
    <t>01.10.2018г.</t>
  </si>
  <si>
    <t>3 600 USD</t>
  </si>
  <si>
    <t>02.10.2018г.</t>
  </si>
  <si>
    <t>1 000 USD</t>
  </si>
  <si>
    <t>04.10.2018г.</t>
  </si>
  <si>
    <t>140 772,41 RUB</t>
  </si>
  <si>
    <t>03.10.2018г.</t>
  </si>
  <si>
    <t>175 155 RUB</t>
  </si>
  <si>
    <t xml:space="preserve">Берикбай Мерей </t>
  </si>
  <si>
    <t>ЗПР,симптоматическая эпилепсия</t>
  </si>
  <si>
    <t>57 870 RUB</t>
  </si>
  <si>
    <t>29.08.2018г.</t>
  </si>
  <si>
    <t>Криптогенная эпиллепсия</t>
  </si>
  <si>
    <t>Берикбай Абдурахман</t>
  </si>
  <si>
    <t>68 680,00 RUB</t>
  </si>
  <si>
    <t>2018, 2 операция на второй глаз</t>
  </si>
  <si>
    <t>97 160 RUB</t>
  </si>
  <si>
    <t>Мукополисахаридоз(синдром Хантера)</t>
  </si>
  <si>
    <t>510,32 EUR</t>
  </si>
  <si>
    <t>08.10.2018г.</t>
  </si>
  <si>
    <t>Амирбек Амина</t>
  </si>
  <si>
    <t>12.10.2018г.</t>
  </si>
  <si>
    <t>15.10.2018г.</t>
  </si>
  <si>
    <t>Дауренбек Айша</t>
  </si>
  <si>
    <t>Айдаркул Курбанбек</t>
  </si>
  <si>
    <t>Амблиопия обскурационная высокая</t>
  </si>
  <si>
    <t>Козлова Ксения</t>
  </si>
  <si>
    <t>Наличие пересаженой печени,повышение уровня трансаминаз</t>
  </si>
  <si>
    <t>18 000 USD</t>
  </si>
  <si>
    <t>15 000 USD</t>
  </si>
  <si>
    <t>2018,                 2 этап операции</t>
  </si>
  <si>
    <t>20 000 USD</t>
  </si>
  <si>
    <t>11.10.2018г.</t>
  </si>
  <si>
    <t>Тусенова Амира</t>
  </si>
  <si>
    <t>Нейробластома забрюшинного пространства с поражением костного мозга,удаление опухоли с резекцией нижней челюсти слева</t>
  </si>
  <si>
    <t>1 140,20 USD</t>
  </si>
  <si>
    <t> Врожденная структурная миопатия,генетика</t>
  </si>
  <si>
    <t> Паппиломатоз гортани</t>
  </si>
  <si>
    <t>Папилломатоз гортани,рецедивирующая форма</t>
  </si>
  <si>
    <t>ПДЖ, в т.ч. -        320 000 тг. ТОО "Академия спорта "Drive"</t>
  </si>
  <si>
    <t>16.10.2018г.</t>
  </si>
  <si>
    <t xml:space="preserve"> 3 800 USD</t>
  </si>
  <si>
    <t>Адилжанулы Амирхан</t>
  </si>
  <si>
    <t>Линейный невус</t>
  </si>
  <si>
    <t>Кириленко Кирилл</t>
  </si>
  <si>
    <t>OML FAB M4,противорецидивная хт</t>
  </si>
  <si>
    <t>17.10.2018г.</t>
  </si>
  <si>
    <t>Шакен Зере</t>
  </si>
  <si>
    <t> Множественные ВПР.Болезнь накопления?Лентикулостриарная васкулопатия.</t>
  </si>
  <si>
    <t>18.10.2018г.</t>
  </si>
  <si>
    <t>273 400 RUB</t>
  </si>
  <si>
    <t>ПДЖ, в т.ч. -            10 000 USD  частный спонсор</t>
  </si>
  <si>
    <t xml:space="preserve">ПДЖ, в т.ч. -             765 000 тг.  ТОО "BAU Group" </t>
  </si>
  <si>
    <t>ПДЖ, в т.ч. -      500 000 тг.  ТОО «Global Wine and Spirits»</t>
  </si>
  <si>
    <t>02.11.2018г.</t>
  </si>
  <si>
    <t>Кали Айдана</t>
  </si>
  <si>
    <t> Ювенильный папилломатоз гортани(подсвязачного пространства),рецедивирующего течение,рубцовый стеноз ДН2ст.</t>
  </si>
  <si>
    <t>05.11.2018г.</t>
  </si>
  <si>
    <t>ПДЖ, в т.ч. -                   7 602 USD частный спонсор</t>
  </si>
  <si>
    <t>223 750 RUB</t>
  </si>
  <si>
    <t>07.11.2018г.</t>
  </si>
  <si>
    <t>Асланова Милана</t>
  </si>
  <si>
    <t>Нейрогенная дисфункция мочевого пузыря по гиперрефлекторному типу,ВПР верхних мочевых путей</t>
  </si>
  <si>
    <t>Серикова Рамина</t>
  </si>
  <si>
    <t>Муковисцидос смешанная форма</t>
  </si>
  <si>
    <t>124 865 RUB</t>
  </si>
  <si>
    <t>12.11.2018г.</t>
  </si>
  <si>
    <t>Грищук Артур</t>
  </si>
  <si>
    <t>Буллезный эпидермолиз</t>
  </si>
  <si>
    <t>88 933 RUB</t>
  </si>
  <si>
    <t>Кыдралиев Куат</t>
  </si>
  <si>
    <t>170 675 RUB</t>
  </si>
  <si>
    <t>13.11.2018г.</t>
  </si>
  <si>
    <t>Маратов Елнур</t>
  </si>
  <si>
    <t> Врожденный ложный сустав,нейрофиброматоз</t>
  </si>
  <si>
    <t>14.11.2018г.</t>
  </si>
  <si>
    <t>15.11.2018г.</t>
  </si>
  <si>
    <t>Калиева Алина</t>
  </si>
  <si>
    <t>Криапирин-ассоциированный периодический синдром CINCA-NOMID</t>
  </si>
  <si>
    <t>УФК по г.Москве ФГБУ НМИЦ ДГОИ им. Дмитрия Рогачева Минздрава России</t>
  </si>
  <si>
    <t>431 630 RUB</t>
  </si>
  <si>
    <t>37 898 RUB</t>
  </si>
  <si>
    <t>358 540 RUB</t>
  </si>
  <si>
    <t>7 438 USD</t>
  </si>
  <si>
    <t>2 562,72 USD</t>
  </si>
  <si>
    <t>Мухамбетова Майя</t>
  </si>
  <si>
    <t>Низкодифференцированная нейробластома шеи слева</t>
  </si>
  <si>
    <t>1 700 USD</t>
  </si>
  <si>
    <t>20.11.2018г.</t>
  </si>
  <si>
    <t>Осипенко Ярослав</t>
  </si>
  <si>
    <t>36 350 RUB</t>
  </si>
  <si>
    <t>22.11.2018г.</t>
  </si>
  <si>
    <t>ООО Академик</t>
  </si>
  <si>
    <t>63 600 RUB</t>
  </si>
  <si>
    <t>65 280 RUB</t>
  </si>
  <si>
    <t>40 420 RUB</t>
  </si>
  <si>
    <t>Аскар Диас</t>
  </si>
  <si>
    <t>ВПР мочеполовой системы</t>
  </si>
  <si>
    <t>28.11.2018г.</t>
  </si>
  <si>
    <t>Берик Нурия</t>
  </si>
  <si>
    <t>ВПС Атрезия легочной артерии 2 тип, ОАП, ДМЖП, БАЛК артерий с обеих сторон. НК1, ФК2, Белково – энергетическая недостаточность 2-3 степени.</t>
  </si>
  <si>
    <t>3 339,64 EUR</t>
  </si>
  <si>
    <t>04.12.2018г.</t>
  </si>
  <si>
    <t>114 223,41 RUB</t>
  </si>
  <si>
    <t>Нурмухамбетова София</t>
  </si>
  <si>
    <t>104 276,83 RUB</t>
  </si>
  <si>
    <t>Кемелхан Арсен</t>
  </si>
  <si>
    <t>123 004,83 RUB</t>
  </si>
  <si>
    <t>121 798,83 RUB</t>
  </si>
  <si>
    <t>Отебаев Алмас</t>
  </si>
  <si>
    <t>Арханоидальная супрасилярная киста и ЭТВ</t>
  </si>
  <si>
    <t>MED PLUS LTD</t>
  </si>
  <si>
    <t>05.12.2018г.</t>
  </si>
  <si>
    <t>06.12.2018г.</t>
  </si>
  <si>
    <t>9 800 USD</t>
  </si>
  <si>
    <t>Аубакиров Батырхан</t>
  </si>
  <si>
    <t>119 517,83 RUB</t>
  </si>
  <si>
    <t>07.12.2018г.</t>
  </si>
  <si>
    <t>112 737,41 RUB</t>
  </si>
  <si>
    <t>Каленов Дарын</t>
  </si>
  <si>
    <t>5 300 USD</t>
  </si>
  <si>
    <t>193 790 RUB</t>
  </si>
  <si>
    <t>ПДЖ, в т.ч. -        15 000 USD  частный спонсор</t>
  </si>
  <si>
    <t xml:space="preserve"> 6 484,30 ЕUR</t>
  </si>
  <si>
    <t>Каспер Анастасия</t>
  </si>
  <si>
    <t>Портальная гипертензия,варикозное расширение вен средней и нижней трети пищевода</t>
  </si>
  <si>
    <t>13.12.2018г.</t>
  </si>
  <si>
    <t>4 500 USD</t>
  </si>
  <si>
    <t>Сембек Ажар</t>
  </si>
  <si>
    <t> Врожденный множественный артрогрипоз,первичная аксональная недостаточность нервной проводимости по перефирическим нервным стволам обеих верхних конечностей</t>
  </si>
  <si>
    <t>10.12.2018г.</t>
  </si>
  <si>
    <t>11.12.2018г.</t>
  </si>
  <si>
    <t>109 824,83 RUB</t>
  </si>
  <si>
    <t>19.12.2018г.</t>
  </si>
  <si>
    <t>Адай Алтынай</t>
  </si>
  <si>
    <t>112 821,83 RUB</t>
  </si>
  <si>
    <t>116 219,83 RUB</t>
  </si>
  <si>
    <t>Жумакас Нурлан</t>
  </si>
  <si>
    <t>Микрофтальм, анеиридия </t>
  </si>
  <si>
    <t>113 041,83 RUB</t>
  </si>
  <si>
    <t>Рябченко Мария</t>
  </si>
  <si>
    <t>Фокальная кортикальная дисплазия теменой доли слева.Эпилептогенные очаги</t>
  </si>
  <si>
    <t>118 900,00 RUB</t>
  </si>
  <si>
    <t>Тажимгалиев Арсен</t>
  </si>
  <si>
    <t>ВПР гортаноглотки, ларингоцеле</t>
  </si>
  <si>
    <t>Acibadem Saglik Hizmetleri A.S.</t>
  </si>
  <si>
    <t>3 650 USD</t>
  </si>
  <si>
    <t>Пасыров Азамат</t>
  </si>
  <si>
    <t>Синдром Мебиуса</t>
  </si>
  <si>
    <t>451 750,00 RUB</t>
  </si>
  <si>
    <t>21.12.2018г.</t>
  </si>
  <si>
    <t>220 000,00 RUB</t>
  </si>
  <si>
    <t>Жанбакиев Амирхан</t>
  </si>
  <si>
    <t>111 326,83 RUB</t>
  </si>
  <si>
    <t>31 698,26 RUB</t>
  </si>
  <si>
    <t>Мадибай Нурали</t>
  </si>
  <si>
    <t>Мадибай Нурмухаммед</t>
  </si>
  <si>
    <t>Мадибай Нурислам</t>
  </si>
  <si>
    <t>271 USD</t>
  </si>
  <si>
    <t>272 USD</t>
  </si>
  <si>
    <t>20.12.2018г.</t>
  </si>
  <si>
    <t>12 000 USD</t>
  </si>
  <si>
    <t>6 800 USD</t>
  </si>
  <si>
    <t>26.12.2018г.</t>
  </si>
  <si>
    <t>Рахат Аяна</t>
  </si>
  <si>
    <t>Папилломатоз гортани,рецедивирующая форма,рубцовый стеноз гортани</t>
  </si>
  <si>
    <t>7 200 USD</t>
  </si>
  <si>
    <t>27.12.2018г.</t>
  </si>
  <si>
    <t>о перечисленных средствах за лечение детей на 31.12.2018</t>
  </si>
  <si>
    <t>ПДЖ, в т.ч. -             300 000 тенге. ИП Радченко</t>
  </si>
  <si>
    <t>10 000 USD</t>
  </si>
  <si>
    <t>Азаматова Дана</t>
  </si>
  <si>
    <t>University Medical Center КФ</t>
  </si>
  <si>
    <t>380 500 KZT</t>
  </si>
  <si>
    <t>30.11.2018г.</t>
  </si>
  <si>
    <t>ПДЖ, в т.ч. -                      1 000 000 тг,  АО "Центральный депозитарий ценных бумаг"</t>
  </si>
  <si>
    <t>ПДЖ, в т.ч. -              460 883 тг, ТОО "Управляющая компания "Казмедиа Орталығы"</t>
  </si>
  <si>
    <t>Ердосулы Елдар</t>
  </si>
  <si>
    <t>Новообразование четверохолмия</t>
  </si>
  <si>
    <t>12.07.2018г.</t>
  </si>
  <si>
    <t>232 920,00 RUB</t>
  </si>
  <si>
    <t>ПДЖ, в т.ч. -      423 597 тг. ТОО "Mega Media Communication"</t>
  </si>
  <si>
    <t>133 300,45 RUB</t>
  </si>
  <si>
    <t>222 950 RUB</t>
  </si>
  <si>
    <t>52 704,82 RUB</t>
  </si>
  <si>
    <t>16.11.2018г.</t>
  </si>
  <si>
    <t>Адилхан Айша</t>
  </si>
  <si>
    <t>ВПР обеих кистей и стоп.Синдактилия 2-2-3-5 пальцев обеих кистей и стоп</t>
  </si>
  <si>
    <t>161 181,64 RUB</t>
  </si>
  <si>
    <t xml:space="preserve"> 3 745,61 ЕUR</t>
  </si>
  <si>
    <t>Медуллобластома червя мозжечка,с прорастанием в IV желудочек головного мозга</t>
  </si>
  <si>
    <t>ПДЖ, в т.ч. -                7 200 USD     фонд            "Жандану Әлемі"</t>
  </si>
  <si>
    <t>ПДЖ, в т.ч. -             1 017 евро LAURENT ASCIONE,               4 430 USD АО "Фридом Финанс" Благотворительность вместо сувениров</t>
  </si>
  <si>
    <t>ПДЖ, в т.ч. - ТОО "Эко-Техникс" -                3 000 USD</t>
  </si>
  <si>
    <t xml:space="preserve">ПДЖ, в т.ч. -   частный спонсор - 11 900 USD,      ИП "Бахман" -                   1 000 000 тг. </t>
  </si>
  <si>
    <t>ПДЖ, в т.ч. - НУО "Экономический лицей" -                        300 000 тг.</t>
  </si>
  <si>
    <t>ПДЖ, в т.ч. - НУО "Экономический лицей" -                       400 000 тг.</t>
  </si>
  <si>
    <t>ПДЖ, в т.ч. - НУО "Экономический лицей" -                           300 000 тг.</t>
  </si>
  <si>
    <t xml:space="preserve">ПДЖ, в т.ч.      ИП "Бахман" -                       1 000 000 тг. </t>
  </si>
  <si>
    <t xml:space="preserve">ПДЖ,  в т.ч. -             154 885 тг. Клуб "28 петель" </t>
  </si>
  <si>
    <t>ПДЖ, в т.ч. -                    1 500 USD частный спонсор</t>
  </si>
  <si>
    <t>ПДЖ, в т.ч. -                      1 000 USD  частный спонсор</t>
  </si>
  <si>
    <t>ПДЖ, в т.ч. -                       1 000 USD  частный спонсор</t>
  </si>
  <si>
    <t>ПДЖ, в т.ч. -                         1 000 USD  частный спонсор</t>
  </si>
  <si>
    <t>ПДЖ, в т.ч. -                   2 000 000 тг. ТОО "Med Co" Благотворительность вместо сувениров,  ТОО "Смак Дистрибьшн" - 900 000 тг., ТОО "Almaty IT telecom" -           400 000 тг.</t>
  </si>
  <si>
    <t>ПДЖ, в т. ч. -               400 000 тг, ТОО «Гамма-KZ» и частный спонсор - 3 824 000 тг.</t>
  </si>
  <si>
    <t>ПДЖ, в т.ч. -                      966 400 тг. частный спонсор,           500 000 тг. - ТОО "Центр правильного сна",   200 000 тг. - ТОО "Гамма - KZ</t>
  </si>
  <si>
    <t>ПДЖ, в т.ч. -                        390 557 тг., ТРЦ "Тамаша",                 500 000 тг. - ТОО "Фортекс Торг"</t>
  </si>
  <si>
    <t>ПДЖ, в т.ч. -                           2 375 000 тг. ТОО "Казцинк"</t>
  </si>
  <si>
    <t>ПДЖ, в т.ч. -                  1 480 000 тг. ТОО "Казцинк"</t>
  </si>
  <si>
    <t>ПДЖ, в т.ч. -                    300 000 тг., ТОО «Global Wine and Spirits»;                         473 790 тг. - ТОО "Управляющая компания "Казмедиа Орталығы"</t>
  </si>
  <si>
    <t>ПДЖ, в т.ч. -                                 500 000 тг. ТОО "Биотроник Казахстан",                     5 300 000 тг.  частный спонсор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</si>
</sst>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4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3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right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4" fontId="3" fillId="8" borderId="9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3" fillId="4" borderId="7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vertical="top"/>
    </xf>
    <xf numFmtId="0" fontId="5" fillId="7" borderId="0" xfId="0" applyFont="1" applyFill="1" applyBorder="1" applyAlignment="1">
      <alignment horizontal="left" vertical="top" wrapText="1"/>
    </xf>
    <xf numFmtId="3" fontId="5" fillId="7" borderId="0" xfId="0" applyNumberFormat="1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164" fontId="0" fillId="5" borderId="0" xfId="0" applyNumberFormat="1" applyFill="1"/>
    <xf numFmtId="164" fontId="0" fillId="0" borderId="0" xfId="0" applyNumberFormat="1" applyFill="1"/>
    <xf numFmtId="164" fontId="0" fillId="5" borderId="0" xfId="0" applyNumberForma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top" wrapText="1"/>
    </xf>
    <xf numFmtId="0" fontId="0" fillId="5" borderId="0" xfId="0" applyFill="1" applyAlignment="1"/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3" fontId="3" fillId="5" borderId="9" xfId="0" applyNumberFormat="1" applyFont="1" applyFill="1" applyBorder="1" applyAlignment="1">
      <alignment horizontal="right" vertical="top" wrapText="1"/>
    </xf>
    <xf numFmtId="3" fontId="3" fillId="5" borderId="7" xfId="0" applyNumberFormat="1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4" fontId="3" fillId="5" borderId="7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164" fontId="0" fillId="5" borderId="0" xfId="0" applyNumberFormat="1" applyFill="1" applyAlignment="1">
      <alignment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0" xfId="0" applyFill="1" applyAlignment="1">
      <alignment vertical="center"/>
    </xf>
    <xf numFmtId="0" fontId="8" fillId="0" borderId="7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3" fontId="3" fillId="9" borderId="0" xfId="0" applyNumberFormat="1" applyFont="1" applyFill="1" applyBorder="1" applyAlignment="1">
      <alignment vertical="top"/>
    </xf>
    <xf numFmtId="3" fontId="3" fillId="3" borderId="17" xfId="0" applyNumberFormat="1" applyFont="1" applyFill="1" applyBorder="1" applyAlignment="1">
      <alignment vertical="top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14" fontId="3" fillId="5" borderId="8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3" fontId="3" fillId="5" borderId="8" xfId="0" applyNumberFormat="1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righ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right" vertical="center"/>
    </xf>
    <xf numFmtId="0" fontId="0" fillId="5" borderId="9" xfId="0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3" fillId="4" borderId="8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 vertical="top" wrapText="1"/>
    </xf>
    <xf numFmtId="0" fontId="0" fillId="5" borderId="16" xfId="0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8" fillId="4" borderId="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top" wrapText="1"/>
    </xf>
    <xf numFmtId="0" fontId="8" fillId="5" borderId="1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6"/>
  <sheetViews>
    <sheetView tabSelected="1" topLeftCell="A299" zoomScale="85" zoomScaleNormal="85" workbookViewId="0">
      <selection activeCell="N341" sqref="N341"/>
    </sheetView>
  </sheetViews>
  <sheetFormatPr defaultRowHeight="12.75" x14ac:dyDescent="0.2"/>
  <cols>
    <col min="1" max="1" width="4.85546875" style="1" customWidth="1"/>
    <col min="2" max="2" width="17.85546875" style="2" customWidth="1"/>
    <col min="3" max="3" width="5.140625" style="3" customWidth="1"/>
    <col min="4" max="4" width="17.85546875" style="3" customWidth="1"/>
    <col min="5" max="5" width="9.5703125" style="3" customWidth="1"/>
    <col min="6" max="6" width="19" style="3" customWidth="1"/>
    <col min="7" max="7" width="14.140625" style="4" customWidth="1"/>
    <col min="8" max="8" width="16" style="14" customWidth="1"/>
    <col min="9" max="9" width="4.140625" style="5" customWidth="1"/>
    <col min="10" max="10" width="5.140625" style="5" customWidth="1"/>
    <col min="11" max="11" width="7.28515625" style="6" customWidth="1"/>
    <col min="12" max="12" width="12.140625" style="6" customWidth="1"/>
    <col min="13" max="13" width="11" style="7" customWidth="1"/>
    <col min="14" max="14" width="15.5703125" style="8" customWidth="1"/>
    <col min="15" max="15" width="10.7109375" style="8" bestFit="1" customWidth="1"/>
    <col min="16" max="16" width="9.140625" style="8"/>
  </cols>
  <sheetData>
    <row r="1" spans="1:16" ht="24.75" customHeight="1" x14ac:dyDescent="0.2">
      <c r="B1" s="577" t="s">
        <v>0</v>
      </c>
      <c r="C1" s="577"/>
      <c r="D1" s="577"/>
      <c r="E1" s="577"/>
      <c r="F1" s="577"/>
      <c r="G1" s="577"/>
      <c r="H1" s="9"/>
    </row>
    <row r="2" spans="1:16" ht="18.75" customHeight="1" x14ac:dyDescent="0.2">
      <c r="B2" s="577" t="s">
        <v>774</v>
      </c>
      <c r="C2" s="577"/>
      <c r="D2" s="577"/>
      <c r="E2" s="577"/>
      <c r="F2" s="577"/>
      <c r="G2" s="577"/>
      <c r="H2" s="9"/>
    </row>
    <row r="3" spans="1:16" ht="18.75" customHeight="1" x14ac:dyDescent="0.2">
      <c r="B3" s="46"/>
      <c r="C3" s="46"/>
      <c r="D3" s="46"/>
      <c r="E3" s="46"/>
      <c r="F3" s="46"/>
      <c r="G3" s="46"/>
      <c r="H3" s="9"/>
    </row>
    <row r="4" spans="1:16" ht="228" customHeight="1" x14ac:dyDescent="0.2">
      <c r="B4" s="581" t="s">
        <v>33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</row>
    <row r="5" spans="1:16" ht="18.75" customHeight="1" x14ac:dyDescent="0.2">
      <c r="B5" s="9"/>
      <c r="C5" s="9"/>
      <c r="D5" s="9"/>
      <c r="E5" s="9"/>
      <c r="F5" s="9"/>
      <c r="G5" s="10"/>
    </row>
    <row r="6" spans="1:16" ht="166.5" customHeight="1" x14ac:dyDescent="0.2">
      <c r="A6" s="16"/>
      <c r="B6" s="47"/>
      <c r="C6" s="47"/>
      <c r="D6" s="47" t="s">
        <v>1</v>
      </c>
      <c r="E6" s="47" t="s">
        <v>22</v>
      </c>
      <c r="F6" s="64" t="s">
        <v>13</v>
      </c>
      <c r="G6" s="47"/>
      <c r="H6"/>
      <c r="I6"/>
      <c r="J6"/>
      <c r="K6"/>
      <c r="L6"/>
      <c r="M6"/>
      <c r="N6"/>
      <c r="O6"/>
      <c r="P6"/>
    </row>
    <row r="7" spans="1:16" s="12" customFormat="1" ht="18.75" customHeight="1" x14ac:dyDescent="0.2">
      <c r="A7" s="15"/>
      <c r="B7" s="48">
        <v>2007</v>
      </c>
      <c r="C7" s="49"/>
      <c r="D7" s="48">
        <v>9</v>
      </c>
      <c r="E7" s="48">
        <v>11</v>
      </c>
      <c r="F7" s="50">
        <v>19264780</v>
      </c>
      <c r="G7" s="51"/>
    </row>
    <row r="8" spans="1:16" s="12" customFormat="1" ht="18.75" customHeight="1" x14ac:dyDescent="0.2">
      <c r="A8" s="15"/>
      <c r="B8" s="48">
        <v>2008</v>
      </c>
      <c r="C8" s="49"/>
      <c r="D8" s="48">
        <v>44</v>
      </c>
      <c r="E8" s="48">
        <v>45</v>
      </c>
      <c r="F8" s="50">
        <v>40719198</v>
      </c>
      <c r="G8" s="51"/>
    </row>
    <row r="9" spans="1:16" s="12" customFormat="1" ht="18.75" customHeight="1" x14ac:dyDescent="0.2">
      <c r="A9" s="15"/>
      <c r="B9" s="48">
        <v>2009</v>
      </c>
      <c r="C9" s="48"/>
      <c r="D9" s="48">
        <v>56</v>
      </c>
      <c r="E9" s="48">
        <v>58</v>
      </c>
      <c r="F9" s="50">
        <v>47911534</v>
      </c>
      <c r="G9" s="51"/>
    </row>
    <row r="10" spans="1:16" s="12" customFormat="1" ht="18.75" customHeight="1" x14ac:dyDescent="0.2">
      <c r="A10" s="15"/>
      <c r="B10" s="48">
        <v>2010</v>
      </c>
      <c r="C10" s="48"/>
      <c r="D10" s="48">
        <v>111</v>
      </c>
      <c r="E10" s="48">
        <v>117</v>
      </c>
      <c r="F10" s="52">
        <v>105713912</v>
      </c>
      <c r="G10" s="51"/>
    </row>
    <row r="11" spans="1:16" s="12" customFormat="1" ht="18.75" customHeight="1" x14ac:dyDescent="0.2">
      <c r="A11" s="15"/>
      <c r="B11" s="48">
        <v>2011</v>
      </c>
      <c r="C11" s="48"/>
      <c r="D11" s="48">
        <v>50</v>
      </c>
      <c r="E11" s="48">
        <v>66</v>
      </c>
      <c r="F11" s="50">
        <v>70729871</v>
      </c>
      <c r="G11" s="51"/>
    </row>
    <row r="12" spans="1:16" s="12" customFormat="1" ht="18.75" customHeight="1" x14ac:dyDescent="0.2">
      <c r="A12" s="15"/>
      <c r="B12" s="48">
        <v>2012</v>
      </c>
      <c r="C12" s="48"/>
      <c r="D12" s="48">
        <v>38</v>
      </c>
      <c r="E12" s="48">
        <v>58</v>
      </c>
      <c r="F12" s="50">
        <v>73901898</v>
      </c>
      <c r="G12" s="51"/>
    </row>
    <row r="13" spans="1:16" s="12" customFormat="1" ht="18.75" customHeight="1" x14ac:dyDescent="0.2">
      <c r="A13" s="15"/>
      <c r="B13" s="48">
        <v>2013</v>
      </c>
      <c r="C13" s="48"/>
      <c r="D13" s="48">
        <v>337</v>
      </c>
      <c r="E13" s="48">
        <v>465</v>
      </c>
      <c r="F13" s="50">
        <v>396657790</v>
      </c>
      <c r="G13" s="51"/>
    </row>
    <row r="14" spans="1:16" s="12" customFormat="1" ht="18.75" customHeight="1" x14ac:dyDescent="0.2">
      <c r="A14" s="15"/>
      <c r="B14" s="48">
        <v>2014</v>
      </c>
      <c r="C14" s="48"/>
      <c r="D14" s="48">
        <v>299</v>
      </c>
      <c r="E14" s="50">
        <v>540</v>
      </c>
      <c r="F14" s="50">
        <v>588073529</v>
      </c>
      <c r="G14" s="51"/>
    </row>
    <row r="15" spans="1:16" s="12" customFormat="1" ht="18.75" customHeight="1" x14ac:dyDescent="0.2">
      <c r="A15" s="15"/>
      <c r="B15" s="48">
        <v>2015</v>
      </c>
      <c r="C15" s="48"/>
      <c r="D15" s="62">
        <v>368</v>
      </c>
      <c r="E15" s="63">
        <v>466</v>
      </c>
      <c r="F15" s="63">
        <v>487010099</v>
      </c>
      <c r="G15" s="51"/>
    </row>
    <row r="16" spans="1:16" s="12" customFormat="1" ht="18.75" customHeight="1" x14ac:dyDescent="0.2">
      <c r="A16" s="15"/>
      <c r="B16" s="62">
        <v>2016</v>
      </c>
      <c r="C16" s="62"/>
      <c r="D16" s="62">
        <v>74</v>
      </c>
      <c r="E16" s="63">
        <f>2+5+16+8+4+1+2+1+3+7+4+1+8+6+6+12+13+1+2+6+3+3+3+5+1+4+4+5+11+6+2+3</f>
        <v>158</v>
      </c>
      <c r="F16" s="63">
        <v>312962053</v>
      </c>
      <c r="G16" s="51"/>
    </row>
    <row r="17" spans="1:31" s="86" customFormat="1" ht="18.75" customHeight="1" x14ac:dyDescent="0.2">
      <c r="A17" s="84"/>
      <c r="B17" s="62">
        <v>2017</v>
      </c>
      <c r="C17" s="62"/>
      <c r="D17" s="62">
        <f>4+3+1+3+1+2+2+5+15+4+3+5+5+1+1+1+5+1+4+2+3+3+3+2+1+5+3+1+1+1+3+1+3</f>
        <v>98</v>
      </c>
      <c r="E17" s="63">
        <f>9+5+2+3+6+3+5+5+20+10+10+7+7+2+5+3+8+2+3+7+5+6+4+6+2+4+10+5+1+2+2+5+3+5+4</f>
        <v>186</v>
      </c>
      <c r="F17" s="63">
        <v>511748446</v>
      </c>
      <c r="G17" s="85"/>
    </row>
    <row r="18" spans="1:31" s="11" customFormat="1" ht="18.75" customHeight="1" x14ac:dyDescent="0.2">
      <c r="A18" s="69"/>
      <c r="B18" s="70">
        <v>2018</v>
      </c>
      <c r="C18" s="70"/>
      <c r="D18" s="70">
        <f>3+2+4+7+4+4+2+2+2+4+1+3+2+2+4+2+2+3-1+3+2+5+2+2+5+4+3+1+4+1+4+2+8+1+1</f>
        <v>100</v>
      </c>
      <c r="E18" s="71">
        <f>5+5+6+5+8+8+2+5+9+7+3+3+7+5+1+7+6+5+6+1+4+5-1+10+6+6+2+5+2+8+1+7+3+1+6+3+1+8+3+13+1+1+1</f>
        <v>200</v>
      </c>
      <c r="F18" s="71">
        <f>L343</f>
        <v>422501654.98804718</v>
      </c>
      <c r="G18" s="55"/>
    </row>
    <row r="19" spans="1:31" s="11" customFormat="1" ht="28.5" customHeight="1" x14ac:dyDescent="0.2">
      <c r="A19" s="17"/>
      <c r="B19" s="578" t="s">
        <v>41</v>
      </c>
      <c r="C19" s="578"/>
      <c r="D19" s="53">
        <f>SUM(D7:D18)</f>
        <v>1584</v>
      </c>
      <c r="E19" s="53">
        <f>SUM(E7:E18)</f>
        <v>2370</v>
      </c>
      <c r="F19" s="54">
        <f>SUM(F7:F18)</f>
        <v>3077194764.9880471</v>
      </c>
      <c r="G19" s="55"/>
    </row>
    <row r="20" spans="1:31" s="11" customFormat="1" ht="27" customHeight="1" x14ac:dyDescent="0.2">
      <c r="A20" s="17"/>
      <c r="B20" s="579" t="s">
        <v>21</v>
      </c>
      <c r="C20" s="579"/>
      <c r="D20" s="56">
        <v>29</v>
      </c>
      <c r="E20" s="56">
        <v>30</v>
      </c>
      <c r="F20" s="52">
        <v>26996403</v>
      </c>
      <c r="G20" s="55"/>
    </row>
    <row r="21" spans="1:31" s="11" customFormat="1" ht="39.75" customHeight="1" x14ac:dyDescent="0.2">
      <c r="A21" s="17"/>
      <c r="B21" s="579" t="s">
        <v>19</v>
      </c>
      <c r="C21" s="579"/>
      <c r="D21" s="56">
        <v>9</v>
      </c>
      <c r="E21" s="56">
        <v>9</v>
      </c>
      <c r="F21" s="52">
        <v>4177350</v>
      </c>
      <c r="G21" s="55"/>
    </row>
    <row r="22" spans="1:31" s="11" customFormat="1" ht="28.5" customHeight="1" x14ac:dyDescent="0.2">
      <c r="A22" s="17"/>
      <c r="B22" s="579" t="s">
        <v>20</v>
      </c>
      <c r="C22" s="579"/>
      <c r="D22" s="56">
        <v>20</v>
      </c>
      <c r="E22" s="56">
        <v>21</v>
      </c>
      <c r="F22" s="52">
        <v>7731150</v>
      </c>
      <c r="G22" s="55"/>
    </row>
    <row r="23" spans="1:31" s="12" customFormat="1" ht="66.75" customHeight="1" x14ac:dyDescent="0.2">
      <c r="A23" s="15"/>
      <c r="B23" s="580" t="s">
        <v>29</v>
      </c>
      <c r="C23" s="580"/>
      <c r="D23" s="48">
        <v>20</v>
      </c>
      <c r="E23" s="50">
        <v>20</v>
      </c>
      <c r="F23" s="57"/>
      <c r="G23" s="51"/>
    </row>
    <row r="24" spans="1:31" s="12" customFormat="1" ht="55.5" customHeight="1" x14ac:dyDescent="0.2">
      <c r="A24" s="18"/>
      <c r="B24" s="575" t="s">
        <v>42</v>
      </c>
      <c r="C24" s="575"/>
      <c r="D24" s="47">
        <f>SUM(D19:D23)</f>
        <v>1662</v>
      </c>
      <c r="E24" s="58">
        <f>SUM(E19:E23)</f>
        <v>2450</v>
      </c>
      <c r="F24" s="58">
        <f>SUM(F19:F23)</f>
        <v>3116099667.9880471</v>
      </c>
      <c r="G24" s="59"/>
    </row>
    <row r="25" spans="1:31" s="12" customFormat="1" ht="27" customHeight="1" x14ac:dyDescent="0.2">
      <c r="A25" s="17"/>
      <c r="B25" s="56" t="s">
        <v>11</v>
      </c>
      <c r="C25" s="56"/>
      <c r="D25" s="56">
        <f>13</f>
        <v>13</v>
      </c>
      <c r="E25" s="50">
        <v>13</v>
      </c>
      <c r="F25" s="52">
        <f>78500*150</f>
        <v>11775000</v>
      </c>
      <c r="G25" s="503"/>
    </row>
    <row r="26" spans="1:31" s="12" customFormat="1" ht="18" customHeight="1" x14ac:dyDescent="0.2">
      <c r="A26" s="17"/>
      <c r="B26" s="53" t="s">
        <v>12</v>
      </c>
      <c r="C26" s="53"/>
      <c r="D26" s="53">
        <f>D25+D24</f>
        <v>1675</v>
      </c>
      <c r="E26" s="54">
        <f>SUM(E24+E25)</f>
        <v>2463</v>
      </c>
      <c r="F26" s="60"/>
      <c r="G26" s="60"/>
    </row>
    <row r="27" spans="1:31" ht="18.75" customHeight="1" x14ac:dyDescent="0.2">
      <c r="B27" s="9"/>
      <c r="C27" s="9"/>
      <c r="D27" s="9"/>
      <c r="E27" s="9"/>
      <c r="F27" s="9"/>
      <c r="G27" s="10"/>
    </row>
    <row r="28" spans="1:31" ht="103.5" customHeight="1" x14ac:dyDescent="0.2">
      <c r="A28" s="24"/>
      <c r="B28" s="25" t="s">
        <v>2</v>
      </c>
      <c r="C28" s="26" t="s">
        <v>3</v>
      </c>
      <c r="D28" s="26" t="s">
        <v>4</v>
      </c>
      <c r="E28" s="26" t="s">
        <v>5</v>
      </c>
      <c r="F28" s="26" t="s">
        <v>6</v>
      </c>
      <c r="G28" s="26" t="s">
        <v>28</v>
      </c>
      <c r="H28" s="26" t="s">
        <v>7</v>
      </c>
      <c r="I28" s="27" t="s">
        <v>43</v>
      </c>
      <c r="J28" s="27" t="s">
        <v>44</v>
      </c>
      <c r="K28" s="26" t="s">
        <v>8</v>
      </c>
      <c r="L28" s="26" t="s">
        <v>17</v>
      </c>
      <c r="M28" s="26" t="s">
        <v>9</v>
      </c>
    </row>
    <row r="29" spans="1:31" s="13" customFormat="1" ht="23.25" customHeight="1" x14ac:dyDescent="0.2">
      <c r="A29" s="28"/>
      <c r="B29" s="29">
        <v>2018</v>
      </c>
      <c r="C29" s="30"/>
      <c r="D29" s="30"/>
      <c r="E29" s="31"/>
      <c r="F29" s="30"/>
      <c r="G29" s="32"/>
      <c r="H29" s="33"/>
      <c r="I29" s="34"/>
      <c r="J29" s="34"/>
      <c r="K29" s="35"/>
      <c r="L29" s="35"/>
      <c r="M29" s="36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s="23" customFormat="1" ht="17.25" customHeight="1" x14ac:dyDescent="0.2">
      <c r="A30" s="536"/>
      <c r="B30" s="573" t="s">
        <v>31</v>
      </c>
      <c r="C30" s="573">
        <v>2004</v>
      </c>
      <c r="D30" s="574" t="s">
        <v>30</v>
      </c>
      <c r="E30" s="573" t="s">
        <v>45</v>
      </c>
      <c r="F30" s="573" t="s">
        <v>38</v>
      </c>
      <c r="G30" s="91" t="s">
        <v>14</v>
      </c>
      <c r="H30" s="576" t="s">
        <v>16</v>
      </c>
      <c r="I30" s="526"/>
      <c r="J30" s="526"/>
      <c r="K30" s="95">
        <v>333.9</v>
      </c>
      <c r="L30" s="96">
        <f>5000*K30</f>
        <v>1669500</v>
      </c>
      <c r="M30" s="97" t="s">
        <v>46</v>
      </c>
      <c r="N30" s="73"/>
    </row>
    <row r="31" spans="1:31" s="23" customFormat="1" ht="21.75" customHeight="1" x14ac:dyDescent="0.2">
      <c r="A31" s="537"/>
      <c r="B31" s="539"/>
      <c r="C31" s="539"/>
      <c r="D31" s="557"/>
      <c r="E31" s="539"/>
      <c r="F31" s="539"/>
      <c r="G31" s="91" t="s">
        <v>18</v>
      </c>
      <c r="H31" s="556"/>
      <c r="I31" s="524"/>
      <c r="J31" s="524"/>
      <c r="K31" s="106">
        <v>333.9</v>
      </c>
      <c r="L31" s="107">
        <f>5500*K31</f>
        <v>1836449.9999999998</v>
      </c>
      <c r="M31" s="97" t="s">
        <v>52</v>
      </c>
      <c r="N31" s="73"/>
    </row>
    <row r="32" spans="1:31" s="23" customFormat="1" ht="29.25" customHeight="1" x14ac:dyDescent="0.2">
      <c r="A32" s="102"/>
      <c r="B32" s="502" t="s">
        <v>26</v>
      </c>
      <c r="C32" s="103">
        <v>2015</v>
      </c>
      <c r="D32" s="104" t="s">
        <v>27</v>
      </c>
      <c r="E32" s="103" t="s">
        <v>47</v>
      </c>
      <c r="F32" s="103" t="s">
        <v>38</v>
      </c>
      <c r="G32" s="91" t="s">
        <v>14</v>
      </c>
      <c r="H32" s="100" t="s">
        <v>156</v>
      </c>
      <c r="I32" s="105"/>
      <c r="J32" s="105"/>
      <c r="K32" s="106">
        <v>333.9</v>
      </c>
      <c r="L32" s="107">
        <f>5000*K32</f>
        <v>1669500</v>
      </c>
      <c r="M32" s="97" t="s">
        <v>46</v>
      </c>
      <c r="N32" s="73"/>
    </row>
    <row r="33" spans="1:29" s="23" customFormat="1" ht="52.5" customHeight="1" x14ac:dyDescent="0.2">
      <c r="A33" s="98">
        <v>1576</v>
      </c>
      <c r="B33" s="99" t="s">
        <v>48</v>
      </c>
      <c r="C33" s="99">
        <v>2009</v>
      </c>
      <c r="D33" s="89" t="s">
        <v>49</v>
      </c>
      <c r="E33" s="99">
        <v>2018</v>
      </c>
      <c r="F33" s="99" t="s">
        <v>25</v>
      </c>
      <c r="G33" s="92" t="s">
        <v>61</v>
      </c>
      <c r="H33" s="122" t="s">
        <v>16</v>
      </c>
      <c r="I33" s="101">
        <v>1</v>
      </c>
      <c r="J33" s="101">
        <v>2264</v>
      </c>
      <c r="K33" s="95">
        <v>5.8659999999999997</v>
      </c>
      <c r="L33" s="96">
        <f>104000*K33</f>
        <v>610064</v>
      </c>
      <c r="M33" s="97" t="s">
        <v>46</v>
      </c>
      <c r="N33" s="73"/>
    </row>
    <row r="34" spans="1:29" s="23" customFormat="1" ht="28.5" customHeight="1" x14ac:dyDescent="0.2">
      <c r="A34" s="78"/>
      <c r="B34" s="505" t="s">
        <v>32</v>
      </c>
      <c r="C34" s="79">
        <v>2012</v>
      </c>
      <c r="D34" s="80" t="s">
        <v>24</v>
      </c>
      <c r="E34" s="79" t="s">
        <v>51</v>
      </c>
      <c r="F34" s="112" t="s">
        <v>15</v>
      </c>
      <c r="G34" s="68" t="s">
        <v>50</v>
      </c>
      <c r="H34" s="191" t="s">
        <v>394</v>
      </c>
      <c r="I34" s="77">
        <v>2</v>
      </c>
      <c r="J34" s="77">
        <v>2265</v>
      </c>
      <c r="K34" s="66">
        <v>333.9</v>
      </c>
      <c r="L34" s="67">
        <f>2150*K34</f>
        <v>717885</v>
      </c>
      <c r="M34" s="65" t="s">
        <v>46</v>
      </c>
    </row>
    <row r="35" spans="1:29" s="23" customFormat="1" ht="16.5" customHeight="1" x14ac:dyDescent="0.2">
      <c r="A35" s="536"/>
      <c r="B35" s="534" t="s">
        <v>40</v>
      </c>
      <c r="C35" s="534">
        <v>2005</v>
      </c>
      <c r="D35" s="533" t="s">
        <v>39</v>
      </c>
      <c r="E35" s="534" t="s">
        <v>47</v>
      </c>
      <c r="F35" s="534" t="s">
        <v>38</v>
      </c>
      <c r="G35" s="91" t="s">
        <v>10</v>
      </c>
      <c r="H35" s="517" t="s">
        <v>156</v>
      </c>
      <c r="I35" s="526"/>
      <c r="J35" s="526"/>
      <c r="K35" s="106">
        <v>333.9</v>
      </c>
      <c r="L35" s="107">
        <f>9000*K35</f>
        <v>3005100</v>
      </c>
      <c r="M35" s="97" t="s">
        <v>52</v>
      </c>
      <c r="N35" s="73"/>
    </row>
    <row r="36" spans="1:29" s="23" customFormat="1" ht="18" customHeight="1" x14ac:dyDescent="0.2">
      <c r="A36" s="528"/>
      <c r="B36" s="531"/>
      <c r="C36" s="531"/>
      <c r="D36" s="558"/>
      <c r="E36" s="531"/>
      <c r="F36" s="531"/>
      <c r="G36" s="91" t="s">
        <v>10</v>
      </c>
      <c r="H36" s="518"/>
      <c r="I36" s="525"/>
      <c r="J36" s="525"/>
      <c r="K36" s="106">
        <v>333.9</v>
      </c>
      <c r="L36" s="107">
        <f>9000*K36</f>
        <v>3005100</v>
      </c>
      <c r="M36" s="97" t="s">
        <v>62</v>
      </c>
      <c r="N36" s="73"/>
    </row>
    <row r="37" spans="1:29" s="23" customFormat="1" ht="28.5" customHeight="1" x14ac:dyDescent="0.2">
      <c r="A37" s="528"/>
      <c r="B37" s="531"/>
      <c r="C37" s="531"/>
      <c r="D37" s="558"/>
      <c r="E37" s="531"/>
      <c r="F37" s="531"/>
      <c r="G37" s="91" t="s">
        <v>63</v>
      </c>
      <c r="H37" s="93" t="s">
        <v>64</v>
      </c>
      <c r="I37" s="525"/>
      <c r="J37" s="525"/>
      <c r="K37" s="106">
        <v>321.67</v>
      </c>
      <c r="L37" s="107">
        <f>6100*K37</f>
        <v>1962187</v>
      </c>
      <c r="M37" s="97" t="s">
        <v>65</v>
      </c>
      <c r="N37" s="108"/>
    </row>
    <row r="38" spans="1:29" s="23" customFormat="1" ht="28.5" customHeight="1" x14ac:dyDescent="0.2">
      <c r="A38" s="537"/>
      <c r="B38" s="539"/>
      <c r="C38" s="539"/>
      <c r="D38" s="557"/>
      <c r="E38" s="539"/>
      <c r="F38" s="539"/>
      <c r="G38" s="91" t="s">
        <v>66</v>
      </c>
      <c r="H38" s="93" t="s">
        <v>158</v>
      </c>
      <c r="I38" s="524"/>
      <c r="J38" s="524"/>
      <c r="K38" s="106">
        <v>333.9</v>
      </c>
      <c r="L38" s="107">
        <f>9900*K38</f>
        <v>3305610</v>
      </c>
      <c r="M38" s="97" t="s">
        <v>67</v>
      </c>
      <c r="N38" s="108"/>
    </row>
    <row r="39" spans="1:29" s="23" customFormat="1" ht="51.75" customHeight="1" x14ac:dyDescent="0.2">
      <c r="A39" s="87"/>
      <c r="B39" s="88" t="s">
        <v>35</v>
      </c>
      <c r="C39" s="88">
        <v>2005</v>
      </c>
      <c r="D39" s="89" t="s">
        <v>36</v>
      </c>
      <c r="E39" s="88" t="s">
        <v>47</v>
      </c>
      <c r="F39" s="90" t="s">
        <v>37</v>
      </c>
      <c r="G39" s="91" t="s">
        <v>53</v>
      </c>
      <c r="H39" s="93" t="s">
        <v>16</v>
      </c>
      <c r="I39" s="94"/>
      <c r="J39" s="94"/>
      <c r="K39" s="95">
        <v>333.9</v>
      </c>
      <c r="L39" s="96">
        <f>7259*K39</f>
        <v>2423780.0999999996</v>
      </c>
      <c r="M39" s="97" t="s">
        <v>54</v>
      </c>
      <c r="N39" s="22"/>
    </row>
    <row r="40" spans="1:29" s="23" customFormat="1" ht="16.5" customHeight="1" x14ac:dyDescent="0.2">
      <c r="A40" s="527"/>
      <c r="B40" s="530" t="s">
        <v>34</v>
      </c>
      <c r="C40" s="530">
        <v>2009</v>
      </c>
      <c r="D40" s="533" t="s">
        <v>23</v>
      </c>
      <c r="E40" s="534" t="s">
        <v>55</v>
      </c>
      <c r="F40" s="530" t="s">
        <v>15</v>
      </c>
      <c r="G40" s="91" t="s">
        <v>10</v>
      </c>
      <c r="H40" s="517" t="s">
        <v>159</v>
      </c>
      <c r="I40" s="521">
        <v>3</v>
      </c>
      <c r="J40" s="521">
        <v>2266</v>
      </c>
      <c r="K40" s="106">
        <v>333.9</v>
      </c>
      <c r="L40" s="107">
        <f>9000*K40</f>
        <v>3005100</v>
      </c>
      <c r="M40" s="97" t="s">
        <v>54</v>
      </c>
    </row>
    <row r="41" spans="1:29" s="23" customFormat="1" ht="33.75" customHeight="1" x14ac:dyDescent="0.2">
      <c r="A41" s="537"/>
      <c r="B41" s="539"/>
      <c r="C41" s="539"/>
      <c r="D41" s="539"/>
      <c r="E41" s="539"/>
      <c r="F41" s="539"/>
      <c r="G41" s="91" t="s">
        <v>113</v>
      </c>
      <c r="H41" s="556"/>
      <c r="I41" s="524"/>
      <c r="J41" s="524"/>
      <c r="K41" s="106">
        <v>333.9</v>
      </c>
      <c r="L41" s="107">
        <f>4700*K41</f>
        <v>1569330</v>
      </c>
      <c r="M41" s="97" t="s">
        <v>62</v>
      </c>
    </row>
    <row r="42" spans="1:29" s="23" customFormat="1" ht="39" customHeight="1" x14ac:dyDescent="0.2">
      <c r="A42" s="109">
        <v>1577</v>
      </c>
      <c r="B42" s="501" t="s">
        <v>56</v>
      </c>
      <c r="C42" s="110">
        <v>2013</v>
      </c>
      <c r="D42" s="228" t="s">
        <v>59</v>
      </c>
      <c r="E42" s="90">
        <v>2018</v>
      </c>
      <c r="F42" s="110" t="s">
        <v>57</v>
      </c>
      <c r="G42" s="92" t="s">
        <v>88</v>
      </c>
      <c r="H42" s="93" t="s">
        <v>16</v>
      </c>
      <c r="I42" s="111">
        <v>4</v>
      </c>
      <c r="J42" s="111">
        <v>2267</v>
      </c>
      <c r="K42" s="106">
        <v>5.9688999999999997</v>
      </c>
      <c r="L42" s="107">
        <f>2527*K42</f>
        <v>15083.4103</v>
      </c>
      <c r="M42" s="97" t="s">
        <v>58</v>
      </c>
    </row>
    <row r="43" spans="1:29" s="23" customFormat="1" ht="50.25" customHeight="1" x14ac:dyDescent="0.2">
      <c r="A43" s="87"/>
      <c r="B43" s="88" t="s">
        <v>69</v>
      </c>
      <c r="C43" s="88">
        <v>2007</v>
      </c>
      <c r="D43" s="99" t="s">
        <v>70</v>
      </c>
      <c r="E43" s="99" t="s">
        <v>71</v>
      </c>
      <c r="F43" s="88" t="s">
        <v>38</v>
      </c>
      <c r="G43" s="92" t="s">
        <v>72</v>
      </c>
      <c r="H43" s="93" t="s">
        <v>85</v>
      </c>
      <c r="I43" s="94">
        <v>5</v>
      </c>
      <c r="J43" s="94">
        <v>2268</v>
      </c>
      <c r="K43" s="95">
        <v>333.9</v>
      </c>
      <c r="L43" s="96">
        <f>3500*K43</f>
        <v>1168650</v>
      </c>
      <c r="M43" s="97" t="s">
        <v>62</v>
      </c>
    </row>
    <row r="44" spans="1:29" s="21" customFormat="1" ht="23.25" customHeight="1" x14ac:dyDescent="0.2">
      <c r="A44" s="527">
        <v>1578</v>
      </c>
      <c r="B44" s="530" t="s">
        <v>73</v>
      </c>
      <c r="C44" s="530">
        <v>2016</v>
      </c>
      <c r="D44" s="534" t="s">
        <v>75</v>
      </c>
      <c r="E44" s="534">
        <v>2018</v>
      </c>
      <c r="F44" s="530" t="s">
        <v>74</v>
      </c>
      <c r="G44" s="92" t="s">
        <v>729</v>
      </c>
      <c r="H44" s="517" t="s">
        <v>86</v>
      </c>
      <c r="I44" s="521">
        <v>6</v>
      </c>
      <c r="J44" s="521">
        <v>2269</v>
      </c>
      <c r="K44" s="95">
        <v>275.12</v>
      </c>
      <c r="L44" s="96">
        <f>6484.3*K44</f>
        <v>1783960.6160000002</v>
      </c>
      <c r="M44" s="97" t="s">
        <v>76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1" customFormat="1" ht="55.5" customHeight="1" x14ac:dyDescent="0.2">
      <c r="A45" s="553"/>
      <c r="B45" s="538"/>
      <c r="C45" s="538"/>
      <c r="D45" s="539"/>
      <c r="E45" s="539"/>
      <c r="F45" s="538"/>
      <c r="G45" s="92" t="s">
        <v>795</v>
      </c>
      <c r="H45" s="556"/>
      <c r="I45" s="522"/>
      <c r="J45" s="522"/>
      <c r="K45" s="95">
        <v>275.12</v>
      </c>
      <c r="L45" s="96">
        <f>3745.61*K45</f>
        <v>1030492.2232</v>
      </c>
      <c r="M45" s="97" t="s">
        <v>83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3" customFormat="1" ht="52.5" customHeight="1" x14ac:dyDescent="0.2">
      <c r="A46" s="87"/>
      <c r="B46" s="88" t="s">
        <v>77</v>
      </c>
      <c r="C46" s="88">
        <v>2010</v>
      </c>
      <c r="D46" s="99" t="s">
        <v>353</v>
      </c>
      <c r="E46" s="99" t="s">
        <v>78</v>
      </c>
      <c r="F46" s="88" t="s">
        <v>79</v>
      </c>
      <c r="G46" s="92" t="s">
        <v>80</v>
      </c>
      <c r="H46" s="100" t="s">
        <v>256</v>
      </c>
      <c r="I46" s="94">
        <v>7</v>
      </c>
      <c r="J46" s="94">
        <v>2270</v>
      </c>
      <c r="K46" s="95">
        <v>398.09</v>
      </c>
      <c r="L46" s="96">
        <f>528*K46</f>
        <v>210191.52</v>
      </c>
      <c r="M46" s="97" t="s">
        <v>76</v>
      </c>
    </row>
    <row r="47" spans="1:29" s="23" customFormat="1" ht="75" customHeight="1" x14ac:dyDescent="0.2">
      <c r="A47" s="87">
        <v>1579</v>
      </c>
      <c r="B47" s="88" t="s">
        <v>81</v>
      </c>
      <c r="C47" s="88">
        <v>2016</v>
      </c>
      <c r="D47" s="99" t="s">
        <v>84</v>
      </c>
      <c r="E47" s="99">
        <v>2018</v>
      </c>
      <c r="F47" s="88" t="s">
        <v>82</v>
      </c>
      <c r="G47" s="92" t="s">
        <v>205</v>
      </c>
      <c r="H47" s="100" t="s">
        <v>87</v>
      </c>
      <c r="I47" s="94">
        <v>8</v>
      </c>
      <c r="J47" s="94">
        <v>2271</v>
      </c>
      <c r="K47" s="95">
        <v>5.81</v>
      </c>
      <c r="L47" s="96">
        <f>438000*K47</f>
        <v>2544780</v>
      </c>
      <c r="M47" s="97" t="s">
        <v>65</v>
      </c>
    </row>
    <row r="48" spans="1:29" s="23" customFormat="1" ht="64.5" customHeight="1" x14ac:dyDescent="0.2">
      <c r="A48" s="115">
        <v>1580</v>
      </c>
      <c r="B48" s="499" t="s">
        <v>169</v>
      </c>
      <c r="C48" s="116">
        <v>2012</v>
      </c>
      <c r="D48" s="123" t="s">
        <v>170</v>
      </c>
      <c r="E48" s="118">
        <v>2018</v>
      </c>
      <c r="F48" s="116" t="s">
        <v>38</v>
      </c>
      <c r="G48" s="92" t="s">
        <v>171</v>
      </c>
      <c r="H48" s="121" t="s">
        <v>16</v>
      </c>
      <c r="I48" s="119">
        <v>9</v>
      </c>
      <c r="J48" s="119">
        <v>2272</v>
      </c>
      <c r="K48" s="95">
        <v>333.9</v>
      </c>
      <c r="L48" s="96">
        <f>2500*K48</f>
        <v>834750</v>
      </c>
      <c r="M48" s="97" t="s">
        <v>67</v>
      </c>
    </row>
    <row r="49" spans="1:13" s="23" customFormat="1" ht="15" customHeight="1" x14ac:dyDescent="0.2">
      <c r="A49" s="527"/>
      <c r="B49" s="530" t="s">
        <v>26</v>
      </c>
      <c r="C49" s="530">
        <v>2015</v>
      </c>
      <c r="D49" s="534" t="s">
        <v>27</v>
      </c>
      <c r="E49" s="534" t="s">
        <v>55</v>
      </c>
      <c r="F49" s="530" t="s">
        <v>38</v>
      </c>
      <c r="G49" s="92" t="s">
        <v>10</v>
      </c>
      <c r="H49" s="517" t="s">
        <v>156</v>
      </c>
      <c r="I49" s="521">
        <v>10</v>
      </c>
      <c r="J49" s="521">
        <v>2273</v>
      </c>
      <c r="K49" s="95">
        <v>333.9</v>
      </c>
      <c r="L49" s="96">
        <f>9000*K49</f>
        <v>3005100</v>
      </c>
      <c r="M49" s="97" t="s">
        <v>67</v>
      </c>
    </row>
    <row r="50" spans="1:13" s="23" customFormat="1" ht="18.75" customHeight="1" x14ac:dyDescent="0.2">
      <c r="A50" s="553"/>
      <c r="B50" s="538"/>
      <c r="C50" s="538"/>
      <c r="D50" s="539"/>
      <c r="E50" s="539"/>
      <c r="F50" s="538"/>
      <c r="G50" s="92" t="s">
        <v>10</v>
      </c>
      <c r="H50" s="556"/>
      <c r="I50" s="522"/>
      <c r="J50" s="522"/>
      <c r="K50" s="95">
        <v>333.9</v>
      </c>
      <c r="L50" s="96">
        <f>9000*K50</f>
        <v>3005100</v>
      </c>
      <c r="M50" s="97" t="s">
        <v>100</v>
      </c>
    </row>
    <row r="51" spans="1:13" s="23" customFormat="1" ht="29.25" customHeight="1" x14ac:dyDescent="0.2">
      <c r="A51" s="109"/>
      <c r="B51" s="501" t="s">
        <v>164</v>
      </c>
      <c r="C51" s="110">
        <v>2010</v>
      </c>
      <c r="D51" s="117" t="s">
        <v>165</v>
      </c>
      <c r="E51" s="124" t="s">
        <v>191</v>
      </c>
      <c r="F51" s="317" t="s">
        <v>166</v>
      </c>
      <c r="G51" s="92" t="s">
        <v>167</v>
      </c>
      <c r="H51" s="93" t="s">
        <v>16</v>
      </c>
      <c r="I51" s="111">
        <v>11</v>
      </c>
      <c r="J51" s="111">
        <v>2274</v>
      </c>
      <c r="K51" s="95">
        <v>5.81</v>
      </c>
      <c r="L51" s="96">
        <f>61970*K51</f>
        <v>360045.69999999995</v>
      </c>
      <c r="M51" s="97" t="s">
        <v>168</v>
      </c>
    </row>
    <row r="52" spans="1:13" s="23" customFormat="1" ht="52.5" customHeight="1" x14ac:dyDescent="0.2">
      <c r="A52" s="87"/>
      <c r="B52" s="88" t="s">
        <v>89</v>
      </c>
      <c r="C52" s="88">
        <v>2010</v>
      </c>
      <c r="D52" s="99" t="s">
        <v>90</v>
      </c>
      <c r="E52" s="99" t="s">
        <v>91</v>
      </c>
      <c r="F52" s="88" t="s">
        <v>92</v>
      </c>
      <c r="G52" s="92" t="s">
        <v>93</v>
      </c>
      <c r="H52" s="100" t="s">
        <v>16</v>
      </c>
      <c r="I52" s="94">
        <v>12</v>
      </c>
      <c r="J52" s="94">
        <v>2275</v>
      </c>
      <c r="K52" s="95">
        <v>5.8356000000000003</v>
      </c>
      <c r="L52" s="96">
        <f>51720*K52</f>
        <v>301817.23200000002</v>
      </c>
      <c r="M52" s="97" t="s">
        <v>94</v>
      </c>
    </row>
    <row r="53" spans="1:13" s="23" customFormat="1" ht="75" customHeight="1" x14ac:dyDescent="0.2">
      <c r="A53" s="87">
        <v>1581</v>
      </c>
      <c r="B53" s="88" t="s">
        <v>95</v>
      </c>
      <c r="C53" s="88">
        <v>2011</v>
      </c>
      <c r="D53" s="89" t="s">
        <v>96</v>
      </c>
      <c r="E53" s="99">
        <v>2018</v>
      </c>
      <c r="F53" s="88" t="s">
        <v>97</v>
      </c>
      <c r="G53" s="92" t="s">
        <v>98</v>
      </c>
      <c r="H53" s="100" t="s">
        <v>16</v>
      </c>
      <c r="I53" s="94">
        <v>13</v>
      </c>
      <c r="J53" s="94">
        <v>2276</v>
      </c>
      <c r="K53" s="95">
        <v>5.7892000000000001</v>
      </c>
      <c r="L53" s="96">
        <f>44990*K53</f>
        <v>260456.10800000001</v>
      </c>
      <c r="M53" s="97" t="s">
        <v>99</v>
      </c>
    </row>
    <row r="54" spans="1:13" s="23" customFormat="1" ht="78" customHeight="1" x14ac:dyDescent="0.2">
      <c r="A54" s="87">
        <v>1582</v>
      </c>
      <c r="B54" s="88" t="s">
        <v>101</v>
      </c>
      <c r="C54" s="88">
        <v>2016</v>
      </c>
      <c r="D54" s="89" t="s">
        <v>102</v>
      </c>
      <c r="E54" s="99">
        <v>2018</v>
      </c>
      <c r="F54" s="88" t="s">
        <v>103</v>
      </c>
      <c r="G54" s="92" t="s">
        <v>352</v>
      </c>
      <c r="H54" s="100" t="s">
        <v>157</v>
      </c>
      <c r="I54" s="94">
        <v>14</v>
      </c>
      <c r="J54" s="94">
        <v>2277</v>
      </c>
      <c r="K54" s="95">
        <v>333.9</v>
      </c>
      <c r="L54" s="96">
        <f>3892.65*K54</f>
        <v>1299755.835</v>
      </c>
      <c r="M54" s="97" t="s">
        <v>100</v>
      </c>
    </row>
    <row r="55" spans="1:13" s="23" customFormat="1" ht="39" customHeight="1" x14ac:dyDescent="0.2">
      <c r="A55" s="87">
        <v>1583</v>
      </c>
      <c r="B55" s="88" t="s">
        <v>104</v>
      </c>
      <c r="C55" s="88">
        <v>2016</v>
      </c>
      <c r="D55" s="89" t="s">
        <v>105</v>
      </c>
      <c r="E55" s="99">
        <v>2018</v>
      </c>
      <c r="F55" s="88" t="s">
        <v>106</v>
      </c>
      <c r="G55" s="92" t="s">
        <v>107</v>
      </c>
      <c r="H55" s="100" t="s">
        <v>16</v>
      </c>
      <c r="I55" s="94">
        <v>15</v>
      </c>
      <c r="J55" s="94">
        <v>2278</v>
      </c>
      <c r="K55" s="95">
        <v>5.7279999999999998</v>
      </c>
      <c r="L55" s="96">
        <f>123678.59*K55</f>
        <v>708430.96351999999</v>
      </c>
      <c r="M55" s="97" t="s">
        <v>100</v>
      </c>
    </row>
    <row r="56" spans="1:13" s="23" customFormat="1" ht="39" customHeight="1" x14ac:dyDescent="0.2">
      <c r="A56" s="87"/>
      <c r="B56" s="88" t="s">
        <v>108</v>
      </c>
      <c r="C56" s="88">
        <v>2016</v>
      </c>
      <c r="D56" s="89" t="s">
        <v>105</v>
      </c>
      <c r="E56" s="99" t="s">
        <v>110</v>
      </c>
      <c r="F56" s="88" t="s">
        <v>106</v>
      </c>
      <c r="G56" s="92" t="s">
        <v>109</v>
      </c>
      <c r="H56" s="100" t="s">
        <v>16</v>
      </c>
      <c r="I56" s="94">
        <v>16</v>
      </c>
      <c r="J56" s="94">
        <v>2279</v>
      </c>
      <c r="K56" s="95">
        <v>5.7553999999999998</v>
      </c>
      <c r="L56" s="96">
        <f>129204.26*K56</f>
        <v>743622.19800400001</v>
      </c>
      <c r="M56" s="97" t="s">
        <v>100</v>
      </c>
    </row>
    <row r="57" spans="1:13" s="23" customFormat="1" ht="37.5" customHeight="1" x14ac:dyDescent="0.2">
      <c r="A57" s="87">
        <v>1584</v>
      </c>
      <c r="B57" s="88" t="s">
        <v>111</v>
      </c>
      <c r="C57" s="88">
        <v>2011</v>
      </c>
      <c r="D57" s="89" t="s">
        <v>105</v>
      </c>
      <c r="E57" s="99">
        <v>2018</v>
      </c>
      <c r="F57" s="88" t="s">
        <v>106</v>
      </c>
      <c r="G57" s="92" t="s">
        <v>112</v>
      </c>
      <c r="H57" s="100" t="s">
        <v>16</v>
      </c>
      <c r="I57" s="94">
        <v>17</v>
      </c>
      <c r="J57" s="94">
        <v>2280</v>
      </c>
      <c r="K57" s="95">
        <v>5.7534999999999998</v>
      </c>
      <c r="L57" s="96">
        <f>115450*K57</f>
        <v>664241.57499999995</v>
      </c>
      <c r="M57" s="97" t="s">
        <v>100</v>
      </c>
    </row>
    <row r="58" spans="1:13" s="23" customFormat="1" ht="30" customHeight="1" x14ac:dyDescent="0.2">
      <c r="A58" s="458"/>
      <c r="B58" s="499" t="s">
        <v>114</v>
      </c>
      <c r="C58" s="459">
        <v>2013</v>
      </c>
      <c r="D58" s="460" t="s">
        <v>115</v>
      </c>
      <c r="E58" s="461" t="s">
        <v>118</v>
      </c>
      <c r="F58" s="459" t="s">
        <v>38</v>
      </c>
      <c r="G58" s="92" t="s">
        <v>332</v>
      </c>
      <c r="H58" s="462" t="s">
        <v>156</v>
      </c>
      <c r="I58" s="463">
        <v>18</v>
      </c>
      <c r="J58" s="463">
        <v>2281</v>
      </c>
      <c r="K58" s="95">
        <v>333.9</v>
      </c>
      <c r="L58" s="96">
        <f>1850*K58</f>
        <v>617715</v>
      </c>
      <c r="M58" s="97" t="s">
        <v>117</v>
      </c>
    </row>
    <row r="59" spans="1:13" s="23" customFormat="1" ht="66.75" customHeight="1" x14ac:dyDescent="0.2">
      <c r="A59" s="87"/>
      <c r="B59" s="88" t="s">
        <v>120</v>
      </c>
      <c r="C59" s="88">
        <v>2012</v>
      </c>
      <c r="D59" s="89" t="s">
        <v>121</v>
      </c>
      <c r="E59" s="99" t="s">
        <v>51</v>
      </c>
      <c r="F59" s="88" t="s">
        <v>38</v>
      </c>
      <c r="G59" s="92" t="s">
        <v>437</v>
      </c>
      <c r="H59" s="100" t="s">
        <v>797</v>
      </c>
      <c r="I59" s="94">
        <v>19</v>
      </c>
      <c r="J59" s="94">
        <v>2282</v>
      </c>
      <c r="K59" s="95">
        <v>333.9</v>
      </c>
      <c r="L59" s="96">
        <f>11500*K59</f>
        <v>3839849.9999999995</v>
      </c>
      <c r="M59" s="97" t="s">
        <v>119</v>
      </c>
    </row>
    <row r="60" spans="1:13" s="23" customFormat="1" ht="40.5" customHeight="1" x14ac:dyDescent="0.2">
      <c r="A60" s="87"/>
      <c r="B60" s="88" t="s">
        <v>122</v>
      </c>
      <c r="C60" s="88">
        <v>2012</v>
      </c>
      <c r="D60" s="99" t="s">
        <v>353</v>
      </c>
      <c r="E60" s="99" t="s">
        <v>123</v>
      </c>
      <c r="F60" s="154" t="s">
        <v>124</v>
      </c>
      <c r="G60" s="92" t="s">
        <v>125</v>
      </c>
      <c r="H60" s="100" t="s">
        <v>256</v>
      </c>
      <c r="I60" s="94">
        <v>20</v>
      </c>
      <c r="J60" s="94">
        <v>2283</v>
      </c>
      <c r="K60" s="95">
        <v>5.7918000000000003</v>
      </c>
      <c r="L60" s="96">
        <f>71705*K60</f>
        <v>415301.01900000003</v>
      </c>
      <c r="M60" s="97" t="s">
        <v>126</v>
      </c>
    </row>
    <row r="61" spans="1:13" s="23" customFormat="1" ht="17.25" customHeight="1" x14ac:dyDescent="0.2">
      <c r="A61" s="527"/>
      <c r="B61" s="530" t="s">
        <v>127</v>
      </c>
      <c r="C61" s="530">
        <v>2011</v>
      </c>
      <c r="D61" s="533" t="s">
        <v>128</v>
      </c>
      <c r="E61" s="534" t="s">
        <v>129</v>
      </c>
      <c r="F61" s="530" t="s">
        <v>15</v>
      </c>
      <c r="G61" s="92" t="s">
        <v>10</v>
      </c>
      <c r="H61" s="517" t="s">
        <v>160</v>
      </c>
      <c r="I61" s="521">
        <v>21</v>
      </c>
      <c r="J61" s="521">
        <v>2284</v>
      </c>
      <c r="K61" s="95">
        <v>333.9</v>
      </c>
      <c r="L61" s="96">
        <f>9000*K61</f>
        <v>3005100</v>
      </c>
      <c r="M61" s="97" t="s">
        <v>130</v>
      </c>
    </row>
    <row r="62" spans="1:13" s="23" customFormat="1" ht="20.25" customHeight="1" x14ac:dyDescent="0.2">
      <c r="A62" s="553"/>
      <c r="B62" s="538"/>
      <c r="C62" s="538"/>
      <c r="D62" s="557"/>
      <c r="E62" s="539"/>
      <c r="F62" s="538"/>
      <c r="G62" s="92" t="s">
        <v>68</v>
      </c>
      <c r="H62" s="556"/>
      <c r="I62" s="522"/>
      <c r="J62" s="522"/>
      <c r="K62" s="95">
        <v>333.9</v>
      </c>
      <c r="L62" s="96">
        <f>3800*K62</f>
        <v>1268820</v>
      </c>
      <c r="M62" s="97" t="s">
        <v>131</v>
      </c>
    </row>
    <row r="63" spans="1:13" s="23" customFormat="1" ht="116.25" customHeight="1" x14ac:dyDescent="0.2">
      <c r="A63" s="87"/>
      <c r="B63" s="88" t="s">
        <v>132</v>
      </c>
      <c r="C63" s="88">
        <v>2009</v>
      </c>
      <c r="D63" s="89" t="s">
        <v>128</v>
      </c>
      <c r="E63" s="99" t="s">
        <v>55</v>
      </c>
      <c r="F63" s="88" t="s">
        <v>15</v>
      </c>
      <c r="G63" s="92" t="s">
        <v>133</v>
      </c>
      <c r="H63" s="100" t="s">
        <v>798</v>
      </c>
      <c r="I63" s="94">
        <v>22</v>
      </c>
      <c r="J63" s="94">
        <v>2285</v>
      </c>
      <c r="K63" s="95">
        <v>333.9</v>
      </c>
      <c r="L63" s="96">
        <f>7000*K63</f>
        <v>2337300</v>
      </c>
      <c r="M63" s="97" t="s">
        <v>130</v>
      </c>
    </row>
    <row r="64" spans="1:13" s="23" customFormat="1" ht="28.5" customHeight="1" x14ac:dyDescent="0.2">
      <c r="A64" s="527">
        <v>1585</v>
      </c>
      <c r="B64" s="530" t="s">
        <v>134</v>
      </c>
      <c r="C64" s="530">
        <v>2017</v>
      </c>
      <c r="D64" s="533" t="s">
        <v>135</v>
      </c>
      <c r="E64" s="534">
        <v>2018</v>
      </c>
      <c r="F64" s="530" t="s">
        <v>154</v>
      </c>
      <c r="G64" s="92" t="s">
        <v>10</v>
      </c>
      <c r="H64" s="517" t="s">
        <v>160</v>
      </c>
      <c r="I64" s="521">
        <v>23</v>
      </c>
      <c r="J64" s="521">
        <v>2286</v>
      </c>
      <c r="K64" s="95">
        <v>333.9</v>
      </c>
      <c r="L64" s="96">
        <f>9000*K64</f>
        <v>3005100</v>
      </c>
      <c r="M64" s="97" t="s">
        <v>136</v>
      </c>
    </row>
    <row r="65" spans="1:13" s="23" customFormat="1" ht="39.75" customHeight="1" x14ac:dyDescent="0.2">
      <c r="A65" s="553"/>
      <c r="B65" s="538"/>
      <c r="C65" s="538"/>
      <c r="D65" s="557"/>
      <c r="E65" s="539"/>
      <c r="F65" s="538"/>
      <c r="G65" s="92" t="s">
        <v>139</v>
      </c>
      <c r="H65" s="556"/>
      <c r="I65" s="522"/>
      <c r="J65" s="522"/>
      <c r="K65" s="95">
        <v>333.9</v>
      </c>
      <c r="L65" s="96">
        <f>6000*K65</f>
        <v>2003399.9999999998</v>
      </c>
      <c r="M65" s="97" t="s">
        <v>136</v>
      </c>
    </row>
    <row r="66" spans="1:13" s="23" customFormat="1" ht="17.25" customHeight="1" x14ac:dyDescent="0.2">
      <c r="A66" s="527">
        <v>1586</v>
      </c>
      <c r="B66" s="530" t="s">
        <v>137</v>
      </c>
      <c r="C66" s="530">
        <v>2010</v>
      </c>
      <c r="D66" s="533" t="s">
        <v>138</v>
      </c>
      <c r="E66" s="534">
        <v>2018</v>
      </c>
      <c r="F66" s="530" t="s">
        <v>155</v>
      </c>
      <c r="G66" s="92" t="s">
        <v>10</v>
      </c>
      <c r="H66" s="517" t="s">
        <v>16</v>
      </c>
      <c r="I66" s="521">
        <v>24</v>
      </c>
      <c r="J66" s="521">
        <v>2287</v>
      </c>
      <c r="K66" s="95">
        <v>333.9</v>
      </c>
      <c r="L66" s="96">
        <f>9000*K66</f>
        <v>3005100</v>
      </c>
      <c r="M66" s="97" t="s">
        <v>136</v>
      </c>
    </row>
    <row r="67" spans="1:13" s="23" customFormat="1" ht="18" customHeight="1" x14ac:dyDescent="0.2">
      <c r="A67" s="552"/>
      <c r="B67" s="554"/>
      <c r="C67" s="554"/>
      <c r="D67" s="531"/>
      <c r="E67" s="531"/>
      <c r="F67" s="554"/>
      <c r="G67" s="92" t="s">
        <v>10</v>
      </c>
      <c r="H67" s="551"/>
      <c r="I67" s="523"/>
      <c r="J67" s="523"/>
      <c r="K67" s="95">
        <v>333.9</v>
      </c>
      <c r="L67" s="96">
        <f>9000*K67</f>
        <v>3005100</v>
      </c>
      <c r="M67" s="97" t="s">
        <v>136</v>
      </c>
    </row>
    <row r="68" spans="1:13" s="23" customFormat="1" ht="18" customHeight="1" x14ac:dyDescent="0.2">
      <c r="A68" s="528"/>
      <c r="B68" s="531"/>
      <c r="C68" s="531"/>
      <c r="D68" s="531"/>
      <c r="E68" s="531"/>
      <c r="F68" s="531"/>
      <c r="G68" s="92" t="s">
        <v>10</v>
      </c>
      <c r="H68" s="535"/>
      <c r="I68" s="525"/>
      <c r="J68" s="525"/>
      <c r="K68" s="95">
        <v>333.9</v>
      </c>
      <c r="L68" s="96">
        <f>9000*K68</f>
        <v>3005100</v>
      </c>
      <c r="M68" s="97" t="s">
        <v>152</v>
      </c>
    </row>
    <row r="69" spans="1:13" s="23" customFormat="1" ht="18" customHeight="1" x14ac:dyDescent="0.2">
      <c r="A69" s="528"/>
      <c r="B69" s="531"/>
      <c r="C69" s="531"/>
      <c r="D69" s="531"/>
      <c r="E69" s="531"/>
      <c r="F69" s="531"/>
      <c r="G69" s="92" t="s">
        <v>153</v>
      </c>
      <c r="H69" s="535"/>
      <c r="I69" s="525"/>
      <c r="J69" s="525"/>
      <c r="K69" s="95">
        <v>333.9</v>
      </c>
      <c r="L69" s="96">
        <f>3000*K69</f>
        <v>1001699.9999999999</v>
      </c>
      <c r="M69" s="97" t="s">
        <v>152</v>
      </c>
    </row>
    <row r="70" spans="1:13" s="23" customFormat="1" ht="18" customHeight="1" x14ac:dyDescent="0.2">
      <c r="A70" s="537"/>
      <c r="B70" s="539"/>
      <c r="C70" s="539"/>
      <c r="D70" s="539"/>
      <c r="E70" s="539"/>
      <c r="F70" s="539"/>
      <c r="G70" s="92" t="s">
        <v>10</v>
      </c>
      <c r="H70" s="518"/>
      <c r="I70" s="524"/>
      <c r="J70" s="524"/>
      <c r="K70" s="95">
        <v>333.9</v>
      </c>
      <c r="L70" s="96">
        <f>9000*K70</f>
        <v>3005100</v>
      </c>
      <c r="M70" s="97" t="s">
        <v>197</v>
      </c>
    </row>
    <row r="71" spans="1:13" s="23" customFormat="1" ht="38.25" customHeight="1" x14ac:dyDescent="0.2">
      <c r="A71" s="87">
        <v>1587</v>
      </c>
      <c r="B71" s="88" t="s">
        <v>140</v>
      </c>
      <c r="C71" s="88">
        <v>2012</v>
      </c>
      <c r="D71" s="114" t="s">
        <v>105</v>
      </c>
      <c r="E71" s="99">
        <v>2018</v>
      </c>
      <c r="F71" s="110" t="s">
        <v>106</v>
      </c>
      <c r="G71" s="92" t="s">
        <v>141</v>
      </c>
      <c r="H71" s="100" t="s">
        <v>16</v>
      </c>
      <c r="I71" s="94">
        <v>25</v>
      </c>
      <c r="J71" s="94">
        <v>2288</v>
      </c>
      <c r="K71" s="95">
        <v>5.7251000000000003</v>
      </c>
      <c r="L71" s="96">
        <f>118669.33*K71</f>
        <v>679393.78118300007</v>
      </c>
      <c r="M71" s="97" t="s">
        <v>136</v>
      </c>
    </row>
    <row r="72" spans="1:13" s="23" customFormat="1" ht="39" customHeight="1" x14ac:dyDescent="0.2">
      <c r="A72" s="87">
        <v>1588</v>
      </c>
      <c r="B72" s="88" t="s">
        <v>142</v>
      </c>
      <c r="C72" s="88">
        <v>2008</v>
      </c>
      <c r="D72" s="114" t="s">
        <v>105</v>
      </c>
      <c r="E72" s="99">
        <v>2018</v>
      </c>
      <c r="F72" s="110" t="s">
        <v>106</v>
      </c>
      <c r="G72" s="92" t="s">
        <v>143</v>
      </c>
      <c r="H72" s="100" t="s">
        <v>156</v>
      </c>
      <c r="I72" s="94">
        <v>26</v>
      </c>
      <c r="J72" s="94">
        <v>2289</v>
      </c>
      <c r="K72" s="95">
        <v>5.7232000000000003</v>
      </c>
      <c r="L72" s="96">
        <f>117516.67*K72</f>
        <v>672571.40574399999</v>
      </c>
      <c r="M72" s="97" t="s">
        <v>136</v>
      </c>
    </row>
    <row r="73" spans="1:13" s="23" customFormat="1" ht="37.5" customHeight="1" x14ac:dyDescent="0.2">
      <c r="A73" s="87">
        <v>1589</v>
      </c>
      <c r="B73" s="88" t="s">
        <v>144</v>
      </c>
      <c r="C73" s="88">
        <v>2012</v>
      </c>
      <c r="D73" s="134" t="s">
        <v>105</v>
      </c>
      <c r="E73" s="99">
        <v>2018</v>
      </c>
      <c r="F73" s="135" t="s">
        <v>106</v>
      </c>
      <c r="G73" s="92" t="s">
        <v>143</v>
      </c>
      <c r="H73" s="100" t="s">
        <v>161</v>
      </c>
      <c r="I73" s="94">
        <v>27</v>
      </c>
      <c r="J73" s="94">
        <v>2290</v>
      </c>
      <c r="K73" s="95">
        <v>5.7239000000000004</v>
      </c>
      <c r="L73" s="96">
        <f>117516.67*K73</f>
        <v>672653.66741300002</v>
      </c>
      <c r="M73" s="97" t="s">
        <v>136</v>
      </c>
    </row>
    <row r="74" spans="1:13" s="23" customFormat="1" ht="39" customHeight="1" x14ac:dyDescent="0.2">
      <c r="A74" s="87">
        <v>1590</v>
      </c>
      <c r="B74" s="88" t="s">
        <v>145</v>
      </c>
      <c r="C74" s="88">
        <v>2014</v>
      </c>
      <c r="D74" s="120" t="s">
        <v>105</v>
      </c>
      <c r="E74" s="99">
        <v>2018</v>
      </c>
      <c r="F74" s="110" t="s">
        <v>106</v>
      </c>
      <c r="G74" s="92" t="s">
        <v>146</v>
      </c>
      <c r="H74" s="100" t="s">
        <v>161</v>
      </c>
      <c r="I74" s="94">
        <v>28</v>
      </c>
      <c r="J74" s="94">
        <v>2291</v>
      </c>
      <c r="K74" s="95">
        <v>5.7222</v>
      </c>
      <c r="L74" s="96">
        <f>114984.67*K74</f>
        <v>657965.27867399994</v>
      </c>
      <c r="M74" s="97" t="s">
        <v>136</v>
      </c>
    </row>
    <row r="75" spans="1:13" s="23" customFormat="1" ht="38.25" customHeight="1" x14ac:dyDescent="0.2">
      <c r="A75" s="87"/>
      <c r="B75" s="88" t="s">
        <v>147</v>
      </c>
      <c r="C75" s="88">
        <v>2010</v>
      </c>
      <c r="D75" s="114" t="s">
        <v>105</v>
      </c>
      <c r="E75" s="99" t="s">
        <v>51</v>
      </c>
      <c r="F75" s="110" t="s">
        <v>106</v>
      </c>
      <c r="G75" s="92" t="s">
        <v>148</v>
      </c>
      <c r="H75" s="100" t="s">
        <v>16</v>
      </c>
      <c r="I75" s="94">
        <v>29</v>
      </c>
      <c r="J75" s="94">
        <v>2292</v>
      </c>
      <c r="K75" s="95">
        <v>5.7215999999999996</v>
      </c>
      <c r="L75" s="96">
        <f>105901.67*K75</f>
        <v>605926.99507199996</v>
      </c>
      <c r="M75" s="97" t="s">
        <v>136</v>
      </c>
    </row>
    <row r="76" spans="1:13" s="23" customFormat="1" ht="97.5" customHeight="1" x14ac:dyDescent="0.2">
      <c r="A76" s="87">
        <v>1591</v>
      </c>
      <c r="B76" s="88" t="s">
        <v>149</v>
      </c>
      <c r="C76" s="88">
        <v>2016</v>
      </c>
      <c r="D76" s="89" t="s">
        <v>150</v>
      </c>
      <c r="E76" s="99">
        <v>2018</v>
      </c>
      <c r="F76" s="311" t="s">
        <v>151</v>
      </c>
      <c r="G76" s="92" t="s">
        <v>162</v>
      </c>
      <c r="H76" s="100" t="s">
        <v>163</v>
      </c>
      <c r="I76" s="94">
        <v>30</v>
      </c>
      <c r="J76" s="94">
        <v>2293</v>
      </c>
      <c r="K76" s="95">
        <v>5.8140999999999998</v>
      </c>
      <c r="L76" s="96">
        <f>131935*K76</f>
        <v>767083.28350000002</v>
      </c>
      <c r="M76" s="97" t="s">
        <v>152</v>
      </c>
    </row>
    <row r="77" spans="1:13" s="23" customFormat="1" ht="64.5" customHeight="1" x14ac:dyDescent="0.2">
      <c r="A77" s="87"/>
      <c r="B77" s="88" t="s">
        <v>226</v>
      </c>
      <c r="C77" s="88">
        <v>2004</v>
      </c>
      <c r="D77" s="190" t="s">
        <v>227</v>
      </c>
      <c r="E77" s="99" t="s">
        <v>47</v>
      </c>
      <c r="F77" s="110" t="s">
        <v>228</v>
      </c>
      <c r="G77" s="92" t="s">
        <v>229</v>
      </c>
      <c r="H77" s="126" t="s">
        <v>16</v>
      </c>
      <c r="I77" s="94"/>
      <c r="J77" s="94"/>
      <c r="K77" s="95">
        <v>5.6494</v>
      </c>
      <c r="L77" s="96">
        <f>44090*K77</f>
        <v>249082.046</v>
      </c>
      <c r="M77" s="97" t="s">
        <v>230</v>
      </c>
    </row>
    <row r="78" spans="1:13" s="23" customFormat="1" ht="38.25" customHeight="1" x14ac:dyDescent="0.2">
      <c r="A78" s="87">
        <v>1592</v>
      </c>
      <c r="B78" s="88" t="s">
        <v>172</v>
      </c>
      <c r="C78" s="88">
        <v>2013</v>
      </c>
      <c r="D78" s="139" t="s">
        <v>105</v>
      </c>
      <c r="E78" s="99">
        <v>2018</v>
      </c>
      <c r="F78" s="110" t="s">
        <v>106</v>
      </c>
      <c r="G78" s="92" t="s">
        <v>173</v>
      </c>
      <c r="H78" s="125" t="s">
        <v>16</v>
      </c>
      <c r="I78" s="94">
        <v>31</v>
      </c>
      <c r="J78" s="94">
        <v>2294</v>
      </c>
      <c r="K78" s="95">
        <v>5.8407</v>
      </c>
      <c r="L78" s="96">
        <f>55322*K78</f>
        <v>323119.20539999998</v>
      </c>
      <c r="M78" s="97" t="s">
        <v>174</v>
      </c>
    </row>
    <row r="79" spans="1:13" s="23" customFormat="1" ht="38.25" customHeight="1" x14ac:dyDescent="0.2">
      <c r="A79" s="87">
        <v>1593</v>
      </c>
      <c r="B79" s="88" t="s">
        <v>175</v>
      </c>
      <c r="C79" s="88">
        <v>2015</v>
      </c>
      <c r="D79" s="89" t="s">
        <v>176</v>
      </c>
      <c r="E79" s="99">
        <v>2018</v>
      </c>
      <c r="F79" s="110" t="s">
        <v>106</v>
      </c>
      <c r="G79" s="92" t="s">
        <v>177</v>
      </c>
      <c r="H79" s="125" t="s">
        <v>16</v>
      </c>
      <c r="I79" s="94">
        <v>32</v>
      </c>
      <c r="J79" s="94">
        <v>2295</v>
      </c>
      <c r="K79" s="95">
        <v>5.7671000000000001</v>
      </c>
      <c r="L79" s="96">
        <f>113511.17*K79</f>
        <v>654630.26850700006</v>
      </c>
      <c r="M79" s="97" t="s">
        <v>174</v>
      </c>
    </row>
    <row r="80" spans="1:13" s="23" customFormat="1" ht="39" customHeight="1" x14ac:dyDescent="0.2">
      <c r="A80" s="87">
        <v>1594</v>
      </c>
      <c r="B80" s="88" t="s">
        <v>189</v>
      </c>
      <c r="C80" s="88">
        <v>2014</v>
      </c>
      <c r="D80" s="89" t="s">
        <v>105</v>
      </c>
      <c r="E80" s="99">
        <v>2018</v>
      </c>
      <c r="F80" s="110" t="s">
        <v>106</v>
      </c>
      <c r="G80" s="92" t="s">
        <v>190</v>
      </c>
      <c r="H80" s="125" t="s">
        <v>16</v>
      </c>
      <c r="I80" s="94">
        <v>33</v>
      </c>
      <c r="J80" s="94">
        <v>2296</v>
      </c>
      <c r="K80" s="95">
        <v>5.7687999999999997</v>
      </c>
      <c r="L80" s="96">
        <f>108041.67*K80</f>
        <v>623270.78589599999</v>
      </c>
      <c r="M80" s="97" t="s">
        <v>174</v>
      </c>
    </row>
    <row r="81" spans="1:13" s="23" customFormat="1" ht="39" customHeight="1" x14ac:dyDescent="0.2">
      <c r="A81" s="87"/>
      <c r="B81" s="88" t="s">
        <v>178</v>
      </c>
      <c r="C81" s="88">
        <v>2012</v>
      </c>
      <c r="D81" s="164" t="s">
        <v>179</v>
      </c>
      <c r="E81" s="99" t="s">
        <v>180</v>
      </c>
      <c r="F81" s="166" t="s">
        <v>181</v>
      </c>
      <c r="G81" s="92" t="s">
        <v>182</v>
      </c>
      <c r="H81" s="165" t="s">
        <v>183</v>
      </c>
      <c r="I81" s="94">
        <v>34</v>
      </c>
      <c r="J81" s="94">
        <v>2297</v>
      </c>
      <c r="K81" s="95">
        <v>5.7785000000000002</v>
      </c>
      <c r="L81" s="96">
        <f>43000*K81</f>
        <v>248475.5</v>
      </c>
      <c r="M81" s="97" t="s">
        <v>184</v>
      </c>
    </row>
    <row r="82" spans="1:13" s="23" customFormat="1" ht="39" customHeight="1" x14ac:dyDescent="0.2">
      <c r="A82" s="87"/>
      <c r="B82" s="88" t="s">
        <v>185</v>
      </c>
      <c r="C82" s="88">
        <v>2012</v>
      </c>
      <c r="D82" s="150" t="s">
        <v>179</v>
      </c>
      <c r="E82" s="99" t="s">
        <v>180</v>
      </c>
      <c r="F82" s="147" t="s">
        <v>181</v>
      </c>
      <c r="G82" s="92" t="s">
        <v>290</v>
      </c>
      <c r="H82" s="148" t="s">
        <v>183</v>
      </c>
      <c r="I82" s="94">
        <v>35</v>
      </c>
      <c r="J82" s="94">
        <v>2298</v>
      </c>
      <c r="K82" s="95">
        <v>5.7770000000000001</v>
      </c>
      <c r="L82" s="96">
        <f>1000*K82</f>
        <v>5777</v>
      </c>
      <c r="M82" s="97" t="s">
        <v>184</v>
      </c>
    </row>
    <row r="83" spans="1:13" s="23" customFormat="1" ht="15" customHeight="1" x14ac:dyDescent="0.2">
      <c r="A83" s="527"/>
      <c r="B83" s="530" t="s">
        <v>186</v>
      </c>
      <c r="C83" s="530">
        <v>2008</v>
      </c>
      <c r="D83" s="533" t="s">
        <v>353</v>
      </c>
      <c r="E83" s="534" t="s">
        <v>180</v>
      </c>
      <c r="F83" s="530" t="s">
        <v>187</v>
      </c>
      <c r="G83" s="92" t="s">
        <v>10</v>
      </c>
      <c r="H83" s="517" t="s">
        <v>192</v>
      </c>
      <c r="I83" s="521">
        <v>36</v>
      </c>
      <c r="J83" s="521">
        <v>2299</v>
      </c>
      <c r="K83" s="95">
        <v>333.9</v>
      </c>
      <c r="L83" s="96">
        <f>9000*K83</f>
        <v>3005100</v>
      </c>
      <c r="M83" s="97" t="s">
        <v>188</v>
      </c>
    </row>
    <row r="84" spans="1:13" s="23" customFormat="1" ht="14.25" customHeight="1" x14ac:dyDescent="0.2">
      <c r="A84" s="552"/>
      <c r="B84" s="554"/>
      <c r="C84" s="554"/>
      <c r="D84" s="531"/>
      <c r="E84" s="531"/>
      <c r="F84" s="531"/>
      <c r="G84" s="92" t="s">
        <v>10</v>
      </c>
      <c r="H84" s="535"/>
      <c r="I84" s="523"/>
      <c r="J84" s="523"/>
      <c r="K84" s="95">
        <v>333.9</v>
      </c>
      <c r="L84" s="96">
        <f>9000*K84</f>
        <v>3005100</v>
      </c>
      <c r="M84" s="97" t="s">
        <v>193</v>
      </c>
    </row>
    <row r="85" spans="1:13" s="23" customFormat="1" ht="14.25" customHeight="1" x14ac:dyDescent="0.2">
      <c r="A85" s="553"/>
      <c r="B85" s="538"/>
      <c r="C85" s="538"/>
      <c r="D85" s="539"/>
      <c r="E85" s="539"/>
      <c r="F85" s="539"/>
      <c r="G85" s="92" t="s">
        <v>194</v>
      </c>
      <c r="H85" s="518"/>
      <c r="I85" s="522"/>
      <c r="J85" s="522"/>
      <c r="K85" s="95">
        <v>333.9</v>
      </c>
      <c r="L85" s="96">
        <f>7172*K85</f>
        <v>2394730.7999999998</v>
      </c>
      <c r="M85" s="97" t="s">
        <v>195</v>
      </c>
    </row>
    <row r="86" spans="1:13" s="23" customFormat="1" ht="31.5" customHeight="1" x14ac:dyDescent="0.2">
      <c r="A86" s="109"/>
      <c r="B86" s="501" t="s">
        <v>132</v>
      </c>
      <c r="C86" s="110">
        <v>2009</v>
      </c>
      <c r="D86" s="110" t="s">
        <v>128</v>
      </c>
      <c r="E86" s="127" t="s">
        <v>47</v>
      </c>
      <c r="F86" s="127" t="s">
        <v>15</v>
      </c>
      <c r="G86" s="92" t="s">
        <v>196</v>
      </c>
      <c r="H86" s="128" t="s">
        <v>16</v>
      </c>
      <c r="I86" s="111"/>
      <c r="J86" s="111"/>
      <c r="K86" s="95">
        <v>333.9</v>
      </c>
      <c r="L86" s="96">
        <f>5800*K86</f>
        <v>1936619.9999999998</v>
      </c>
      <c r="M86" s="97" t="s">
        <v>193</v>
      </c>
    </row>
    <row r="87" spans="1:13" s="23" customFormat="1" ht="65.25" customHeight="1" x14ac:dyDescent="0.2">
      <c r="A87" s="155"/>
      <c r="B87" s="501" t="s">
        <v>198</v>
      </c>
      <c r="C87" s="154">
        <v>2015</v>
      </c>
      <c r="D87" s="154" t="s">
        <v>199</v>
      </c>
      <c r="E87" s="152" t="s">
        <v>129</v>
      </c>
      <c r="F87" s="152" t="s">
        <v>200</v>
      </c>
      <c r="G87" s="92" t="s">
        <v>292</v>
      </c>
      <c r="H87" s="153" t="s">
        <v>278</v>
      </c>
      <c r="I87" s="156">
        <v>37</v>
      </c>
      <c r="J87" s="156">
        <v>2300</v>
      </c>
      <c r="K87" s="95">
        <v>5.6845999999999997</v>
      </c>
      <c r="L87" s="96">
        <f>158863.24*K87</f>
        <v>903073.97410399991</v>
      </c>
      <c r="M87" s="97" t="s">
        <v>195</v>
      </c>
    </row>
    <row r="88" spans="1:13" s="23" customFormat="1" ht="22.5" customHeight="1" x14ac:dyDescent="0.2">
      <c r="A88" s="527"/>
      <c r="B88" s="530" t="s">
        <v>89</v>
      </c>
      <c r="C88" s="530">
        <v>2010</v>
      </c>
      <c r="D88" s="530" t="s">
        <v>90</v>
      </c>
      <c r="E88" s="534" t="s">
        <v>47</v>
      </c>
      <c r="F88" s="534" t="s">
        <v>92</v>
      </c>
      <c r="G88" s="92" t="s">
        <v>201</v>
      </c>
      <c r="H88" s="517" t="s">
        <v>16</v>
      </c>
      <c r="I88" s="521"/>
      <c r="J88" s="521"/>
      <c r="K88" s="95">
        <v>5.7568000000000001</v>
      </c>
      <c r="L88" s="96">
        <f>36170*K88</f>
        <v>208223.45600000001</v>
      </c>
      <c r="M88" s="97" t="s">
        <v>195</v>
      </c>
    </row>
    <row r="89" spans="1:13" s="23" customFormat="1" ht="30" customHeight="1" x14ac:dyDescent="0.2">
      <c r="A89" s="529"/>
      <c r="B89" s="532"/>
      <c r="C89" s="532"/>
      <c r="D89" s="532"/>
      <c r="E89" s="532"/>
      <c r="F89" s="532"/>
      <c r="G89" s="92" t="s">
        <v>211</v>
      </c>
      <c r="H89" s="548"/>
      <c r="I89" s="550"/>
      <c r="J89" s="550"/>
      <c r="K89" s="95">
        <v>5.6660000000000004</v>
      </c>
      <c r="L89" s="96">
        <f>14250*K89</f>
        <v>80740.5</v>
      </c>
      <c r="M89" s="97" t="s">
        <v>212</v>
      </c>
    </row>
    <row r="90" spans="1:13" s="23" customFormat="1" ht="39" customHeight="1" x14ac:dyDescent="0.2">
      <c r="A90" s="149"/>
      <c r="B90" s="501" t="s">
        <v>202</v>
      </c>
      <c r="C90" s="147">
        <v>2017</v>
      </c>
      <c r="D90" s="89" t="s">
        <v>203</v>
      </c>
      <c r="E90" s="151" t="s">
        <v>204</v>
      </c>
      <c r="F90" s="425" t="s">
        <v>82</v>
      </c>
      <c r="G90" s="92" t="s">
        <v>291</v>
      </c>
      <c r="H90" s="148" t="s">
        <v>16</v>
      </c>
      <c r="I90" s="146">
        <v>38</v>
      </c>
      <c r="J90" s="146">
        <v>2301</v>
      </c>
      <c r="K90" s="95">
        <v>5.6852</v>
      </c>
      <c r="L90" s="96">
        <f>66960*K90</f>
        <v>380680.99200000003</v>
      </c>
      <c r="M90" s="97" t="s">
        <v>195</v>
      </c>
    </row>
    <row r="91" spans="1:13" s="23" customFormat="1" ht="54" customHeight="1" x14ac:dyDescent="0.2">
      <c r="A91" s="174">
        <v>1595</v>
      </c>
      <c r="B91" s="501" t="s">
        <v>206</v>
      </c>
      <c r="C91" s="173">
        <v>2008</v>
      </c>
      <c r="D91" s="175" t="s">
        <v>207</v>
      </c>
      <c r="E91" s="176">
        <v>2018</v>
      </c>
      <c r="F91" s="88" t="s">
        <v>208</v>
      </c>
      <c r="G91" s="92" t="s">
        <v>209</v>
      </c>
      <c r="H91" s="507" t="s">
        <v>799</v>
      </c>
      <c r="I91" s="172">
        <v>39</v>
      </c>
      <c r="J91" s="172">
        <v>2302</v>
      </c>
      <c r="K91" s="95">
        <v>333.9</v>
      </c>
      <c r="L91" s="96">
        <f>3763*K91</f>
        <v>1256465.7</v>
      </c>
      <c r="M91" s="97" t="s">
        <v>210</v>
      </c>
    </row>
    <row r="92" spans="1:13" s="23" customFormat="1" ht="66" customHeight="1" x14ac:dyDescent="0.2">
      <c r="A92" s="216">
        <v>1596</v>
      </c>
      <c r="B92" s="501" t="s">
        <v>213</v>
      </c>
      <c r="C92" s="217">
        <v>2006</v>
      </c>
      <c r="D92" s="89" t="s">
        <v>214</v>
      </c>
      <c r="E92" s="218">
        <v>2018</v>
      </c>
      <c r="F92" s="217" t="s">
        <v>200</v>
      </c>
      <c r="G92" s="92" t="s">
        <v>215</v>
      </c>
      <c r="H92" s="219" t="s">
        <v>393</v>
      </c>
      <c r="I92" s="220">
        <v>40</v>
      </c>
      <c r="J92" s="220">
        <v>2303</v>
      </c>
      <c r="K92" s="95">
        <v>5.6660000000000004</v>
      </c>
      <c r="L92" s="96">
        <f>225000*K92</f>
        <v>1274850</v>
      </c>
      <c r="M92" s="97" t="s">
        <v>216</v>
      </c>
    </row>
    <row r="93" spans="1:13" s="23" customFormat="1" ht="21" customHeight="1" x14ac:dyDescent="0.2">
      <c r="A93" s="527"/>
      <c r="B93" s="530" t="s">
        <v>217</v>
      </c>
      <c r="C93" s="530">
        <v>2012</v>
      </c>
      <c r="D93" s="533" t="s">
        <v>218</v>
      </c>
      <c r="E93" s="534" t="s">
        <v>51</v>
      </c>
      <c r="F93" s="530" t="s">
        <v>219</v>
      </c>
      <c r="G93" s="92" t="s">
        <v>139</v>
      </c>
      <c r="H93" s="517" t="s">
        <v>305</v>
      </c>
      <c r="I93" s="521">
        <v>41</v>
      </c>
      <c r="J93" s="521">
        <v>2304</v>
      </c>
      <c r="K93" s="95">
        <v>333.9</v>
      </c>
      <c r="L93" s="96">
        <f>6000*K93</f>
        <v>2003399.9999999998</v>
      </c>
      <c r="M93" s="97" t="s">
        <v>220</v>
      </c>
    </row>
    <row r="94" spans="1:13" s="23" customFormat="1" ht="30.75" customHeight="1" x14ac:dyDescent="0.2">
      <c r="A94" s="537"/>
      <c r="B94" s="539"/>
      <c r="C94" s="539"/>
      <c r="D94" s="539"/>
      <c r="E94" s="539"/>
      <c r="F94" s="539"/>
      <c r="G94" s="92" t="s">
        <v>139</v>
      </c>
      <c r="H94" s="518"/>
      <c r="I94" s="524"/>
      <c r="J94" s="524"/>
      <c r="K94" s="95">
        <v>319.36</v>
      </c>
      <c r="L94" s="96">
        <f>6000*K94</f>
        <v>1916160</v>
      </c>
      <c r="M94" s="97" t="s">
        <v>242</v>
      </c>
    </row>
    <row r="95" spans="1:13" s="23" customFormat="1" ht="23.25" customHeight="1" x14ac:dyDescent="0.2">
      <c r="A95" s="527">
        <v>1597</v>
      </c>
      <c r="B95" s="530" t="s">
        <v>222</v>
      </c>
      <c r="C95" s="530">
        <v>2016</v>
      </c>
      <c r="D95" s="533" t="s">
        <v>221</v>
      </c>
      <c r="E95" s="534">
        <v>2018</v>
      </c>
      <c r="F95" s="534" t="s">
        <v>15</v>
      </c>
      <c r="G95" s="92" t="s">
        <v>10</v>
      </c>
      <c r="H95" s="517" t="s">
        <v>800</v>
      </c>
      <c r="I95" s="521">
        <v>42</v>
      </c>
      <c r="J95" s="521">
        <v>2305</v>
      </c>
      <c r="K95" s="95">
        <v>333.9</v>
      </c>
      <c r="L95" s="96">
        <f>9000*K95</f>
        <v>3005100</v>
      </c>
      <c r="M95" s="97" t="s">
        <v>220</v>
      </c>
    </row>
    <row r="96" spans="1:13" s="23" customFormat="1" ht="40.5" customHeight="1" x14ac:dyDescent="0.2">
      <c r="A96" s="553"/>
      <c r="B96" s="539"/>
      <c r="C96" s="539"/>
      <c r="D96" s="557"/>
      <c r="E96" s="539"/>
      <c r="F96" s="539"/>
      <c r="G96" s="92" t="s">
        <v>139</v>
      </c>
      <c r="H96" s="518"/>
      <c r="I96" s="524"/>
      <c r="J96" s="524"/>
      <c r="K96" s="95">
        <v>319.36</v>
      </c>
      <c r="L96" s="96">
        <f>6000*K96</f>
        <v>1916160</v>
      </c>
      <c r="M96" s="97" t="s">
        <v>242</v>
      </c>
    </row>
    <row r="97" spans="1:14" s="23" customFormat="1" ht="28.5" customHeight="1" x14ac:dyDescent="0.2">
      <c r="A97" s="205">
        <v>1598</v>
      </c>
      <c r="B97" s="501" t="s">
        <v>223</v>
      </c>
      <c r="C97" s="206">
        <v>2010</v>
      </c>
      <c r="D97" s="89" t="s">
        <v>224</v>
      </c>
      <c r="E97" s="207">
        <v>2018</v>
      </c>
      <c r="F97" s="206" t="s">
        <v>225</v>
      </c>
      <c r="G97" s="92" t="s">
        <v>98</v>
      </c>
      <c r="H97" s="208" t="s">
        <v>16</v>
      </c>
      <c r="I97" s="209">
        <v>43</v>
      </c>
      <c r="J97" s="209">
        <v>2306</v>
      </c>
      <c r="K97" s="95">
        <v>5.6660000000000004</v>
      </c>
      <c r="L97" s="96">
        <f>44990*K97</f>
        <v>254913.34000000003</v>
      </c>
      <c r="M97" s="97" t="s">
        <v>220</v>
      </c>
    </row>
    <row r="98" spans="1:14" s="23" customFormat="1" ht="64.5" customHeight="1" x14ac:dyDescent="0.2">
      <c r="A98" s="167"/>
      <c r="B98" s="501" t="s">
        <v>231</v>
      </c>
      <c r="C98" s="166">
        <v>2009</v>
      </c>
      <c r="D98" s="164" t="s">
        <v>232</v>
      </c>
      <c r="E98" s="163" t="s">
        <v>204</v>
      </c>
      <c r="F98" s="262" t="s">
        <v>233</v>
      </c>
      <c r="G98" s="92" t="s">
        <v>234</v>
      </c>
      <c r="H98" s="507" t="s">
        <v>801</v>
      </c>
      <c r="I98" s="168">
        <v>44</v>
      </c>
      <c r="J98" s="168">
        <v>2307</v>
      </c>
      <c r="K98" s="95">
        <v>5.6458000000000004</v>
      </c>
      <c r="L98" s="96">
        <f>136985*K98</f>
        <v>773389.91300000006</v>
      </c>
      <c r="M98" s="97" t="s">
        <v>235</v>
      </c>
    </row>
    <row r="99" spans="1:14" s="23" customFormat="1" ht="64.5" customHeight="1" x14ac:dyDescent="0.2">
      <c r="A99" s="167"/>
      <c r="B99" s="501" t="s">
        <v>236</v>
      </c>
      <c r="C99" s="166">
        <v>2003</v>
      </c>
      <c r="D99" s="164" t="s">
        <v>232</v>
      </c>
      <c r="E99" s="163" t="s">
        <v>204</v>
      </c>
      <c r="F99" s="166" t="s">
        <v>233</v>
      </c>
      <c r="G99" s="92" t="s">
        <v>237</v>
      </c>
      <c r="H99" s="507" t="s">
        <v>802</v>
      </c>
      <c r="I99" s="168">
        <v>45</v>
      </c>
      <c r="J99" s="168">
        <v>2308</v>
      </c>
      <c r="K99" s="95">
        <v>5.6459999999999999</v>
      </c>
      <c r="L99" s="96">
        <f>174035*K99</f>
        <v>982601.61</v>
      </c>
      <c r="M99" s="97" t="s">
        <v>235</v>
      </c>
    </row>
    <row r="100" spans="1:14" s="23" customFormat="1" ht="61.5" customHeight="1" x14ac:dyDescent="0.2">
      <c r="A100" s="167"/>
      <c r="B100" s="501" t="s">
        <v>238</v>
      </c>
      <c r="C100" s="166">
        <v>2009</v>
      </c>
      <c r="D100" s="164" t="s">
        <v>232</v>
      </c>
      <c r="E100" s="163" t="s">
        <v>204</v>
      </c>
      <c r="F100" s="166" t="s">
        <v>233</v>
      </c>
      <c r="G100" s="92" t="s">
        <v>239</v>
      </c>
      <c r="H100" s="507" t="s">
        <v>803</v>
      </c>
      <c r="I100" s="168">
        <v>46</v>
      </c>
      <c r="J100" s="168">
        <v>2309</v>
      </c>
      <c r="K100" s="95">
        <v>5.6417999999999999</v>
      </c>
      <c r="L100" s="96">
        <f>168935*K100</f>
        <v>953097.48300000001</v>
      </c>
      <c r="M100" s="97" t="s">
        <v>235</v>
      </c>
    </row>
    <row r="101" spans="1:14" s="23" customFormat="1" ht="20.25" customHeight="1" x14ac:dyDescent="0.2">
      <c r="A101" s="527"/>
      <c r="B101" s="530" t="s">
        <v>240</v>
      </c>
      <c r="C101" s="530">
        <v>2014</v>
      </c>
      <c r="D101" s="533" t="s">
        <v>353</v>
      </c>
      <c r="E101" s="534" t="s">
        <v>123</v>
      </c>
      <c r="F101" s="530" t="s">
        <v>241</v>
      </c>
      <c r="G101" s="92" t="s">
        <v>473</v>
      </c>
      <c r="H101" s="517" t="s">
        <v>183</v>
      </c>
      <c r="I101" s="521">
        <v>47</v>
      </c>
      <c r="J101" s="521">
        <v>2310</v>
      </c>
      <c r="K101" s="95">
        <v>51.54</v>
      </c>
      <c r="L101" s="96">
        <f>43070.47*K101</f>
        <v>2219852.0238000001</v>
      </c>
      <c r="M101" s="97" t="s">
        <v>242</v>
      </c>
    </row>
    <row r="102" spans="1:14" s="23" customFormat="1" ht="18.75" customHeight="1" x14ac:dyDescent="0.2">
      <c r="A102" s="529"/>
      <c r="B102" s="532"/>
      <c r="C102" s="532"/>
      <c r="D102" s="532"/>
      <c r="E102" s="532"/>
      <c r="F102" s="532"/>
      <c r="G102" s="92" t="s">
        <v>474</v>
      </c>
      <c r="H102" s="548"/>
      <c r="I102" s="550"/>
      <c r="J102" s="550"/>
      <c r="K102" s="95">
        <v>50.75</v>
      </c>
      <c r="L102" s="96">
        <f>33652.23*K102</f>
        <v>1707850.6725000001</v>
      </c>
      <c r="M102" s="97" t="s">
        <v>242</v>
      </c>
      <c r="N102" s="203"/>
    </row>
    <row r="103" spans="1:14" s="23" customFormat="1" ht="39" customHeight="1" x14ac:dyDescent="0.2">
      <c r="A103" s="132"/>
      <c r="B103" s="504" t="s">
        <v>243</v>
      </c>
      <c r="C103" s="131">
        <v>2006</v>
      </c>
      <c r="D103" s="178" t="s">
        <v>353</v>
      </c>
      <c r="E103" s="133" t="s">
        <v>71</v>
      </c>
      <c r="F103" s="131" t="s">
        <v>187</v>
      </c>
      <c r="G103" s="81" t="s">
        <v>244</v>
      </c>
      <c r="H103" s="130" t="s">
        <v>256</v>
      </c>
      <c r="I103" s="129">
        <v>48</v>
      </c>
      <c r="J103" s="129">
        <v>2311</v>
      </c>
      <c r="K103" s="82">
        <v>324.07</v>
      </c>
      <c r="L103" s="83">
        <f>1376*K103</f>
        <v>445920.32</v>
      </c>
      <c r="M103" s="65" t="s">
        <v>242</v>
      </c>
    </row>
    <row r="104" spans="1:14" s="23" customFormat="1" ht="37.5" customHeight="1" x14ac:dyDescent="0.2">
      <c r="A104" s="174">
        <v>1599</v>
      </c>
      <c r="B104" s="501" t="s">
        <v>246</v>
      </c>
      <c r="C104" s="173">
        <v>2007</v>
      </c>
      <c r="D104" s="177" t="s">
        <v>245</v>
      </c>
      <c r="E104" s="99">
        <v>2018</v>
      </c>
      <c r="F104" s="425" t="s">
        <v>247</v>
      </c>
      <c r="G104" s="92" t="s">
        <v>248</v>
      </c>
      <c r="H104" s="507" t="s">
        <v>804</v>
      </c>
      <c r="I104" s="172">
        <v>49</v>
      </c>
      <c r="J104" s="172">
        <v>2312</v>
      </c>
      <c r="K104" s="95">
        <v>5.5732999999999997</v>
      </c>
      <c r="L104" s="96">
        <f>330000*K104</f>
        <v>1839189</v>
      </c>
      <c r="M104" s="97" t="s">
        <v>242</v>
      </c>
    </row>
    <row r="105" spans="1:14" s="23" customFormat="1" ht="62.25" customHeight="1" x14ac:dyDescent="0.2">
      <c r="A105" s="183">
        <v>1600</v>
      </c>
      <c r="B105" s="501" t="s">
        <v>257</v>
      </c>
      <c r="C105" s="182">
        <v>2014</v>
      </c>
      <c r="D105" s="89" t="s">
        <v>249</v>
      </c>
      <c r="E105" s="179">
        <v>2018</v>
      </c>
      <c r="F105" s="182" t="s">
        <v>250</v>
      </c>
      <c r="G105" s="92" t="s">
        <v>355</v>
      </c>
      <c r="H105" s="181" t="s">
        <v>183</v>
      </c>
      <c r="I105" s="184">
        <v>50</v>
      </c>
      <c r="J105" s="184">
        <v>2313</v>
      </c>
      <c r="K105" s="95">
        <v>5.5750000000000002</v>
      </c>
      <c r="L105" s="96">
        <f>109792.5*K105</f>
        <v>612093.1875</v>
      </c>
      <c r="M105" s="97" t="s">
        <v>242</v>
      </c>
    </row>
    <row r="106" spans="1:14" s="23" customFormat="1" ht="41.25" customHeight="1" x14ac:dyDescent="0.2">
      <c r="A106" s="174"/>
      <c r="B106" s="501" t="s">
        <v>144</v>
      </c>
      <c r="C106" s="173">
        <v>2012</v>
      </c>
      <c r="D106" s="175" t="s">
        <v>105</v>
      </c>
      <c r="E106" s="176" t="s">
        <v>255</v>
      </c>
      <c r="F106" s="173" t="s">
        <v>106</v>
      </c>
      <c r="G106" s="92" t="s">
        <v>251</v>
      </c>
      <c r="H106" s="171" t="s">
        <v>16</v>
      </c>
      <c r="I106" s="172">
        <v>51</v>
      </c>
      <c r="J106" s="172">
        <v>2314</v>
      </c>
      <c r="K106" s="95">
        <v>5.5747</v>
      </c>
      <c r="L106" s="96">
        <f>111530.84*K106</f>
        <v>621750.97374799999</v>
      </c>
      <c r="M106" s="97" t="s">
        <v>242</v>
      </c>
    </row>
    <row r="107" spans="1:14" s="23" customFormat="1" ht="28.5" customHeight="1" x14ac:dyDescent="0.2">
      <c r="A107" s="248"/>
      <c r="B107" s="501" t="s">
        <v>252</v>
      </c>
      <c r="C107" s="249">
        <v>2011</v>
      </c>
      <c r="D107" s="253" t="s">
        <v>353</v>
      </c>
      <c r="E107" s="250" t="s">
        <v>123</v>
      </c>
      <c r="F107" s="249" t="s">
        <v>253</v>
      </c>
      <c r="G107" s="92" t="s">
        <v>254</v>
      </c>
      <c r="H107" s="251" t="s">
        <v>256</v>
      </c>
      <c r="I107" s="252">
        <v>52</v>
      </c>
      <c r="J107" s="252">
        <v>2315</v>
      </c>
      <c r="K107" s="95">
        <v>5.7095000000000002</v>
      </c>
      <c r="L107" s="96">
        <f>18200*K107</f>
        <v>103912.90000000001</v>
      </c>
      <c r="M107" s="97" t="s">
        <v>242</v>
      </c>
    </row>
    <row r="108" spans="1:14" s="23" customFormat="1" ht="25.5" customHeight="1" x14ac:dyDescent="0.2">
      <c r="A108" s="527">
        <v>1601</v>
      </c>
      <c r="B108" s="530" t="s">
        <v>258</v>
      </c>
      <c r="C108" s="530">
        <v>2006</v>
      </c>
      <c r="D108" s="533" t="s">
        <v>259</v>
      </c>
      <c r="E108" s="534">
        <v>2018</v>
      </c>
      <c r="F108" s="530" t="s">
        <v>260</v>
      </c>
      <c r="G108" s="92" t="s">
        <v>261</v>
      </c>
      <c r="H108" s="517" t="s">
        <v>289</v>
      </c>
      <c r="I108" s="521">
        <v>53</v>
      </c>
      <c r="J108" s="521">
        <v>2316</v>
      </c>
      <c r="K108" s="95">
        <v>5.2503000000000002</v>
      </c>
      <c r="L108" s="96">
        <f>500000*K108</f>
        <v>2625150</v>
      </c>
      <c r="M108" s="97" t="s">
        <v>262</v>
      </c>
    </row>
    <row r="109" spans="1:14" s="23" customFormat="1" ht="24.75" customHeight="1" x14ac:dyDescent="0.2">
      <c r="A109" s="552"/>
      <c r="B109" s="554"/>
      <c r="C109" s="554"/>
      <c r="D109" s="531"/>
      <c r="E109" s="531"/>
      <c r="F109" s="554"/>
      <c r="G109" s="92" t="s">
        <v>688</v>
      </c>
      <c r="H109" s="551"/>
      <c r="I109" s="523"/>
      <c r="J109" s="523"/>
      <c r="K109" s="95">
        <v>5.2489999999999997</v>
      </c>
      <c r="L109" s="96">
        <f>358540*K109</f>
        <v>1881976.46</v>
      </c>
      <c r="M109" s="97" t="s">
        <v>263</v>
      </c>
    </row>
    <row r="110" spans="1:14" s="23" customFormat="1" ht="25.5" customHeight="1" x14ac:dyDescent="0.2">
      <c r="A110" s="528"/>
      <c r="B110" s="531"/>
      <c r="C110" s="531"/>
      <c r="D110" s="531"/>
      <c r="E110" s="531"/>
      <c r="F110" s="531"/>
      <c r="G110" s="515" t="s">
        <v>727</v>
      </c>
      <c r="H110" s="535"/>
      <c r="I110" s="525"/>
      <c r="J110" s="525"/>
      <c r="K110" s="508">
        <v>5.3178000000000001</v>
      </c>
      <c r="L110" s="511">
        <f>193790*K110</f>
        <v>1030536.4620000001</v>
      </c>
      <c r="M110" s="512" t="s">
        <v>279</v>
      </c>
    </row>
    <row r="111" spans="1:14" s="23" customFormat="1" ht="63" customHeight="1" x14ac:dyDescent="0.2">
      <c r="A111" s="537"/>
      <c r="B111" s="539"/>
      <c r="C111" s="539"/>
      <c r="D111" s="539"/>
      <c r="E111" s="539"/>
      <c r="F111" s="539"/>
      <c r="G111" s="561"/>
      <c r="H111" s="518"/>
      <c r="I111" s="524"/>
      <c r="J111" s="524"/>
      <c r="K111" s="510"/>
      <c r="L111" s="510"/>
      <c r="M111" s="514"/>
    </row>
    <row r="112" spans="1:14" s="23" customFormat="1" ht="42" customHeight="1" x14ac:dyDescent="0.2">
      <c r="A112" s="138"/>
      <c r="B112" s="501" t="s">
        <v>264</v>
      </c>
      <c r="C112" s="137">
        <v>2008</v>
      </c>
      <c r="D112" s="139" t="s">
        <v>105</v>
      </c>
      <c r="E112" s="140" t="s">
        <v>55</v>
      </c>
      <c r="F112" s="137" t="s">
        <v>106</v>
      </c>
      <c r="G112" s="92" t="s">
        <v>265</v>
      </c>
      <c r="H112" s="100" t="s">
        <v>306</v>
      </c>
      <c r="I112" s="136">
        <v>54</v>
      </c>
      <c r="J112" s="136">
        <v>2317</v>
      </c>
      <c r="K112" s="95">
        <v>5.3871000000000002</v>
      </c>
      <c r="L112" s="96">
        <f>101468.17*K112</f>
        <v>546619.17860700004</v>
      </c>
      <c r="M112" s="97" t="s">
        <v>266</v>
      </c>
    </row>
    <row r="113" spans="1:14" s="23" customFormat="1" ht="39" customHeight="1" x14ac:dyDescent="0.2">
      <c r="A113" s="138"/>
      <c r="B113" s="501" t="s">
        <v>104</v>
      </c>
      <c r="C113" s="137">
        <v>2016</v>
      </c>
      <c r="D113" s="139" t="s">
        <v>105</v>
      </c>
      <c r="E113" s="140" t="s">
        <v>55</v>
      </c>
      <c r="F113" s="137" t="s">
        <v>106</v>
      </c>
      <c r="G113" s="92" t="s">
        <v>267</v>
      </c>
      <c r="H113" s="100" t="s">
        <v>16</v>
      </c>
      <c r="I113" s="136">
        <v>55</v>
      </c>
      <c r="J113" s="136">
        <v>2318</v>
      </c>
      <c r="K113" s="95">
        <v>5.3882000000000003</v>
      </c>
      <c r="L113" s="96">
        <f>110961.17*K113</f>
        <v>597880.97619399999</v>
      </c>
      <c r="M113" s="97" t="s">
        <v>266</v>
      </c>
    </row>
    <row r="114" spans="1:14" s="23" customFormat="1" ht="40.5" customHeight="1" x14ac:dyDescent="0.2">
      <c r="A114" s="138"/>
      <c r="B114" s="501" t="s">
        <v>268</v>
      </c>
      <c r="C114" s="137">
        <v>2015</v>
      </c>
      <c r="D114" s="139" t="s">
        <v>270</v>
      </c>
      <c r="E114" s="140" t="s">
        <v>269</v>
      </c>
      <c r="F114" s="137" t="s">
        <v>106</v>
      </c>
      <c r="G114" s="92" t="s">
        <v>271</v>
      </c>
      <c r="H114" s="100" t="s">
        <v>16</v>
      </c>
      <c r="I114" s="136">
        <v>56</v>
      </c>
      <c r="J114" s="136">
        <v>2319</v>
      </c>
      <c r="K114" s="95">
        <v>5.3606999999999996</v>
      </c>
      <c r="L114" s="96">
        <f>117998.18*K114</f>
        <v>632552.84352599992</v>
      </c>
      <c r="M114" s="97" t="s">
        <v>266</v>
      </c>
    </row>
    <row r="115" spans="1:14" s="23" customFormat="1" ht="79.5" customHeight="1" x14ac:dyDescent="0.2">
      <c r="A115" s="138"/>
      <c r="B115" s="501" t="s">
        <v>272</v>
      </c>
      <c r="C115" s="137">
        <v>2016</v>
      </c>
      <c r="D115" s="285" t="s">
        <v>105</v>
      </c>
      <c r="E115" s="140" t="s">
        <v>51</v>
      </c>
      <c r="F115" s="284" t="s">
        <v>106</v>
      </c>
      <c r="G115" s="92" t="s">
        <v>271</v>
      </c>
      <c r="H115" s="100" t="s">
        <v>310</v>
      </c>
      <c r="I115" s="136">
        <v>57</v>
      </c>
      <c r="J115" s="136">
        <v>2320</v>
      </c>
      <c r="K115" s="95">
        <v>5.3672000000000004</v>
      </c>
      <c r="L115" s="96">
        <f>117998.18*K115</f>
        <v>633319.83169600007</v>
      </c>
      <c r="M115" s="97" t="s">
        <v>266</v>
      </c>
    </row>
    <row r="116" spans="1:14" s="23" customFormat="1" ht="18" customHeight="1" x14ac:dyDescent="0.2">
      <c r="A116" s="527"/>
      <c r="B116" s="530" t="s">
        <v>273</v>
      </c>
      <c r="C116" s="530">
        <v>2017</v>
      </c>
      <c r="D116" s="533" t="s">
        <v>105</v>
      </c>
      <c r="E116" s="534" t="s">
        <v>55</v>
      </c>
      <c r="F116" s="530" t="s">
        <v>106</v>
      </c>
      <c r="G116" s="92" t="s">
        <v>274</v>
      </c>
      <c r="H116" s="517" t="s">
        <v>805</v>
      </c>
      <c r="I116" s="521">
        <v>58</v>
      </c>
      <c r="J116" s="521">
        <v>2321</v>
      </c>
      <c r="K116" s="95">
        <v>5.3727999999999998</v>
      </c>
      <c r="L116" s="96">
        <f>120548.18*K116</f>
        <v>647681.26150399994</v>
      </c>
      <c r="M116" s="97" t="s">
        <v>266</v>
      </c>
    </row>
    <row r="117" spans="1:14" s="23" customFormat="1" ht="21" customHeight="1" x14ac:dyDescent="0.2">
      <c r="A117" s="529"/>
      <c r="B117" s="532"/>
      <c r="C117" s="532"/>
      <c r="D117" s="532"/>
      <c r="E117" s="532"/>
      <c r="F117" s="532"/>
      <c r="G117" s="92" t="s">
        <v>298</v>
      </c>
      <c r="H117" s="556"/>
      <c r="I117" s="550"/>
      <c r="J117" s="550"/>
      <c r="K117" s="95">
        <v>5.2514000000000003</v>
      </c>
      <c r="L117" s="96">
        <f>112502.18*K117</f>
        <v>590793.94805200002</v>
      </c>
      <c r="M117" s="97" t="s">
        <v>299</v>
      </c>
    </row>
    <row r="118" spans="1:14" s="23" customFormat="1" ht="51" customHeight="1" x14ac:dyDescent="0.2">
      <c r="A118" s="138">
        <v>1602</v>
      </c>
      <c r="B118" s="501" t="s">
        <v>275</v>
      </c>
      <c r="C118" s="137">
        <v>2012</v>
      </c>
      <c r="D118" s="247" t="s">
        <v>105</v>
      </c>
      <c r="E118" s="140">
        <v>2018</v>
      </c>
      <c r="F118" s="158" t="s">
        <v>106</v>
      </c>
      <c r="G118" s="92" t="s">
        <v>276</v>
      </c>
      <c r="H118" s="100" t="s">
        <v>309</v>
      </c>
      <c r="I118" s="136">
        <v>59</v>
      </c>
      <c r="J118" s="136">
        <v>2322</v>
      </c>
      <c r="K118" s="95">
        <v>5.3611000000000004</v>
      </c>
      <c r="L118" s="96">
        <f>116200.17*K118</f>
        <v>622960.73138700007</v>
      </c>
      <c r="M118" s="97" t="s">
        <v>277</v>
      </c>
    </row>
    <row r="119" spans="1:14" s="23" customFormat="1" ht="90" customHeight="1" x14ac:dyDescent="0.2">
      <c r="A119" s="192">
        <v>1603</v>
      </c>
      <c r="B119" s="501" t="s">
        <v>280</v>
      </c>
      <c r="C119" s="193">
        <v>2015</v>
      </c>
      <c r="D119" s="89" t="s">
        <v>281</v>
      </c>
      <c r="E119" s="194">
        <v>2018</v>
      </c>
      <c r="F119" s="193" t="s">
        <v>38</v>
      </c>
      <c r="G119" s="92" t="s">
        <v>282</v>
      </c>
      <c r="H119" s="507" t="s">
        <v>806</v>
      </c>
      <c r="I119" s="195">
        <v>60</v>
      </c>
      <c r="J119" s="195">
        <v>2323</v>
      </c>
      <c r="K119" s="95">
        <v>319.36</v>
      </c>
      <c r="L119" s="96">
        <f>4250*K119</f>
        <v>1357280</v>
      </c>
      <c r="M119" s="97" t="s">
        <v>279</v>
      </c>
    </row>
    <row r="120" spans="1:14" s="23" customFormat="1" ht="26.25" customHeight="1" x14ac:dyDescent="0.2">
      <c r="A120" s="141">
        <v>1604</v>
      </c>
      <c r="B120" s="504" t="s">
        <v>283</v>
      </c>
      <c r="C120" s="142">
        <v>2007</v>
      </c>
      <c r="D120" s="113" t="s">
        <v>284</v>
      </c>
      <c r="E120" s="143">
        <v>2018</v>
      </c>
      <c r="F120" s="142" t="s">
        <v>225</v>
      </c>
      <c r="G120" s="81" t="s">
        <v>98</v>
      </c>
      <c r="H120" s="144" t="s">
        <v>16</v>
      </c>
      <c r="I120" s="145">
        <v>61</v>
      </c>
      <c r="J120" s="145">
        <v>2324</v>
      </c>
      <c r="K120" s="82">
        <v>5.32</v>
      </c>
      <c r="L120" s="83">
        <f>44990*K120</f>
        <v>239346.80000000002</v>
      </c>
      <c r="M120" s="65" t="s">
        <v>279</v>
      </c>
    </row>
    <row r="121" spans="1:14" s="23" customFormat="1" ht="52.5" customHeight="1" x14ac:dyDescent="0.2">
      <c r="A121" s="196"/>
      <c r="B121" s="501" t="s">
        <v>400</v>
      </c>
      <c r="C121" s="197">
        <v>2008</v>
      </c>
      <c r="D121" s="201" t="s">
        <v>396</v>
      </c>
      <c r="E121" s="202" t="s">
        <v>191</v>
      </c>
      <c r="F121" s="197" t="s">
        <v>397</v>
      </c>
      <c r="G121" s="92" t="s">
        <v>401</v>
      </c>
      <c r="H121" s="236" t="s">
        <v>471</v>
      </c>
      <c r="I121" s="200">
        <v>62</v>
      </c>
      <c r="J121" s="200">
        <v>2325</v>
      </c>
      <c r="K121" s="95">
        <v>5.32</v>
      </c>
      <c r="L121" s="96">
        <f>46240*K121</f>
        <v>245996.80000000002</v>
      </c>
      <c r="M121" s="97" t="s">
        <v>279</v>
      </c>
      <c r="N121" s="203"/>
    </row>
    <row r="122" spans="1:14" s="23" customFormat="1" ht="65.25" customHeight="1" x14ac:dyDescent="0.2">
      <c r="A122" s="196">
        <v>1605</v>
      </c>
      <c r="B122" s="501" t="s">
        <v>402</v>
      </c>
      <c r="C122" s="197">
        <v>2014</v>
      </c>
      <c r="D122" s="204" t="s">
        <v>403</v>
      </c>
      <c r="E122" s="202">
        <v>2018</v>
      </c>
      <c r="F122" s="197" t="s">
        <v>397</v>
      </c>
      <c r="G122" s="92" t="s">
        <v>404</v>
      </c>
      <c r="H122" s="199" t="s">
        <v>16</v>
      </c>
      <c r="I122" s="200">
        <v>63</v>
      </c>
      <c r="J122" s="200">
        <v>2326</v>
      </c>
      <c r="K122" s="95">
        <v>5.32</v>
      </c>
      <c r="L122" s="96">
        <f>60770*K122</f>
        <v>323296.40000000002</v>
      </c>
      <c r="M122" s="97" t="s">
        <v>279</v>
      </c>
      <c r="N122" s="203"/>
    </row>
    <row r="123" spans="1:14" s="23" customFormat="1" ht="77.25" customHeight="1" x14ac:dyDescent="0.2">
      <c r="A123" s="183"/>
      <c r="B123" s="501" t="s">
        <v>285</v>
      </c>
      <c r="C123" s="182">
        <v>2009</v>
      </c>
      <c r="D123" s="180" t="s">
        <v>286</v>
      </c>
      <c r="E123" s="179" t="s">
        <v>51</v>
      </c>
      <c r="F123" s="182" t="s">
        <v>287</v>
      </c>
      <c r="G123" s="92" t="s">
        <v>354</v>
      </c>
      <c r="H123" s="181" t="s">
        <v>308</v>
      </c>
      <c r="I123" s="184">
        <v>64</v>
      </c>
      <c r="J123" s="184">
        <v>2327</v>
      </c>
      <c r="K123" s="95">
        <v>5.33</v>
      </c>
      <c r="L123" s="96">
        <f>74090*K123</f>
        <v>394899.7</v>
      </c>
      <c r="M123" s="97" t="s">
        <v>288</v>
      </c>
    </row>
    <row r="124" spans="1:14" s="23" customFormat="1" ht="27.75" customHeight="1" x14ac:dyDescent="0.2">
      <c r="A124" s="183"/>
      <c r="B124" s="501" t="s">
        <v>293</v>
      </c>
      <c r="C124" s="182">
        <v>2009</v>
      </c>
      <c r="D124" s="180" t="s">
        <v>353</v>
      </c>
      <c r="E124" s="179" t="s">
        <v>294</v>
      </c>
      <c r="F124" s="182" t="s">
        <v>295</v>
      </c>
      <c r="G124" s="92" t="s">
        <v>296</v>
      </c>
      <c r="H124" s="181" t="s">
        <v>256</v>
      </c>
      <c r="I124" s="184">
        <v>65</v>
      </c>
      <c r="J124" s="184">
        <v>2328</v>
      </c>
      <c r="K124" s="95">
        <v>5.3914</v>
      </c>
      <c r="L124" s="96">
        <f>23636*K124</f>
        <v>127431.13039999999</v>
      </c>
      <c r="M124" s="97" t="s">
        <v>297</v>
      </c>
    </row>
    <row r="125" spans="1:14" s="23" customFormat="1" ht="53.25" customHeight="1" x14ac:dyDescent="0.2">
      <c r="A125" s="160"/>
      <c r="B125" s="501" t="s">
        <v>300</v>
      </c>
      <c r="C125" s="158">
        <v>2012</v>
      </c>
      <c r="D125" s="161" t="s">
        <v>105</v>
      </c>
      <c r="E125" s="162" t="s">
        <v>55</v>
      </c>
      <c r="F125" s="158" t="s">
        <v>106</v>
      </c>
      <c r="G125" s="92" t="s">
        <v>301</v>
      </c>
      <c r="H125" s="169" t="s">
        <v>307</v>
      </c>
      <c r="I125" s="157">
        <v>66</v>
      </c>
      <c r="J125" s="157">
        <v>2329</v>
      </c>
      <c r="K125" s="95">
        <v>5.2514000000000003</v>
      </c>
      <c r="L125" s="96">
        <f>110405.84*K125</f>
        <v>579785.22817600006</v>
      </c>
      <c r="M125" s="97" t="s">
        <v>299</v>
      </c>
    </row>
    <row r="126" spans="1:14" s="23" customFormat="1" ht="39.75" customHeight="1" x14ac:dyDescent="0.2">
      <c r="A126" s="160"/>
      <c r="B126" s="501" t="s">
        <v>302</v>
      </c>
      <c r="C126" s="158">
        <v>2013</v>
      </c>
      <c r="D126" s="170" t="s">
        <v>105</v>
      </c>
      <c r="E126" s="162" t="s">
        <v>303</v>
      </c>
      <c r="F126" s="158" t="s">
        <v>106</v>
      </c>
      <c r="G126" s="92" t="s">
        <v>304</v>
      </c>
      <c r="H126" s="159" t="s">
        <v>16</v>
      </c>
      <c r="I126" s="157">
        <v>67</v>
      </c>
      <c r="J126" s="157">
        <v>2330</v>
      </c>
      <c r="K126" s="95">
        <v>5.3188000000000004</v>
      </c>
      <c r="L126" s="96">
        <f>68299*K126</f>
        <v>363268.72120000003</v>
      </c>
      <c r="M126" s="97" t="s">
        <v>299</v>
      </c>
    </row>
    <row r="127" spans="1:14" s="23" customFormat="1" ht="77.25" customHeight="1" x14ac:dyDescent="0.2">
      <c r="A127" s="183"/>
      <c r="B127" s="501" t="s">
        <v>311</v>
      </c>
      <c r="C127" s="182">
        <v>2016</v>
      </c>
      <c r="D127" s="180" t="s">
        <v>312</v>
      </c>
      <c r="E127" s="179" t="s">
        <v>313</v>
      </c>
      <c r="F127" s="182" t="s">
        <v>106</v>
      </c>
      <c r="G127" s="92" t="s">
        <v>314</v>
      </c>
      <c r="H127" s="268" t="s">
        <v>544</v>
      </c>
      <c r="I127" s="184">
        <v>68</v>
      </c>
      <c r="J127" s="184">
        <v>2331</v>
      </c>
      <c r="K127" s="95">
        <v>5.32</v>
      </c>
      <c r="L127" s="96">
        <f>119708.51*K127</f>
        <v>636849.27320000005</v>
      </c>
      <c r="M127" s="97" t="s">
        <v>315</v>
      </c>
    </row>
    <row r="128" spans="1:14" s="23" customFormat="1" ht="21.75" customHeight="1" x14ac:dyDescent="0.2">
      <c r="A128" s="527"/>
      <c r="B128" s="530" t="s">
        <v>316</v>
      </c>
      <c r="C128" s="530">
        <v>2017</v>
      </c>
      <c r="D128" s="533" t="s">
        <v>105</v>
      </c>
      <c r="E128" s="534" t="s">
        <v>55</v>
      </c>
      <c r="F128" s="530" t="s">
        <v>106</v>
      </c>
      <c r="G128" s="92" t="s">
        <v>317</v>
      </c>
      <c r="H128" s="517" t="s">
        <v>16</v>
      </c>
      <c r="I128" s="521">
        <v>69</v>
      </c>
      <c r="J128" s="521">
        <v>2332</v>
      </c>
      <c r="K128" s="95">
        <v>5.3193999999999999</v>
      </c>
      <c r="L128" s="96">
        <f>111652.5*K128</f>
        <v>593924.30850000004</v>
      </c>
      <c r="M128" s="97" t="s">
        <v>315</v>
      </c>
    </row>
    <row r="129" spans="1:13" s="23" customFormat="1" ht="19.5" customHeight="1" x14ac:dyDescent="0.2">
      <c r="A129" s="553"/>
      <c r="B129" s="538"/>
      <c r="C129" s="538"/>
      <c r="D129" s="557"/>
      <c r="E129" s="539"/>
      <c r="F129" s="538"/>
      <c r="G129" s="92" t="s">
        <v>329</v>
      </c>
      <c r="H129" s="556"/>
      <c r="I129" s="522"/>
      <c r="J129" s="522"/>
      <c r="K129" s="95">
        <v>5.3150000000000004</v>
      </c>
      <c r="L129" s="96">
        <f>108278.5*K129</f>
        <v>575500.22750000004</v>
      </c>
      <c r="M129" s="97" t="s">
        <v>315</v>
      </c>
    </row>
    <row r="130" spans="1:13" s="23" customFormat="1" ht="37.5" customHeight="1" x14ac:dyDescent="0.2">
      <c r="A130" s="183">
        <v>1606</v>
      </c>
      <c r="B130" s="501" t="s">
        <v>318</v>
      </c>
      <c r="C130" s="182">
        <v>2017</v>
      </c>
      <c r="D130" s="180" t="s">
        <v>105</v>
      </c>
      <c r="E130" s="179">
        <v>2018</v>
      </c>
      <c r="F130" s="182" t="s">
        <v>106</v>
      </c>
      <c r="G130" s="92" t="s">
        <v>319</v>
      </c>
      <c r="H130" s="181" t="s">
        <v>330</v>
      </c>
      <c r="I130" s="184">
        <v>70</v>
      </c>
      <c r="J130" s="184">
        <v>2333</v>
      </c>
      <c r="K130" s="95">
        <v>5.3247999999999998</v>
      </c>
      <c r="L130" s="96">
        <f>141324.5*K130</f>
        <v>752524.69759999996</v>
      </c>
      <c r="M130" s="97" t="s">
        <v>315</v>
      </c>
    </row>
    <row r="131" spans="1:13" s="23" customFormat="1" ht="40.5" customHeight="1" x14ac:dyDescent="0.2">
      <c r="A131" s="183">
        <v>1607</v>
      </c>
      <c r="B131" s="501" t="s">
        <v>320</v>
      </c>
      <c r="C131" s="182">
        <v>2018</v>
      </c>
      <c r="D131" s="180" t="s">
        <v>105</v>
      </c>
      <c r="E131" s="179">
        <v>2018</v>
      </c>
      <c r="F131" s="182" t="s">
        <v>106</v>
      </c>
      <c r="G131" s="92" t="s">
        <v>321</v>
      </c>
      <c r="H131" s="507" t="s">
        <v>807</v>
      </c>
      <c r="I131" s="184">
        <v>71</v>
      </c>
      <c r="J131" s="184">
        <v>2334</v>
      </c>
      <c r="K131" s="95">
        <v>5.3231000000000002</v>
      </c>
      <c r="L131" s="96">
        <f>125463.5*K131</f>
        <v>667854.75685000001</v>
      </c>
      <c r="M131" s="97" t="s">
        <v>315</v>
      </c>
    </row>
    <row r="132" spans="1:13" s="23" customFormat="1" ht="39.75" customHeight="1" x14ac:dyDescent="0.2">
      <c r="A132" s="183">
        <v>1608</v>
      </c>
      <c r="B132" s="501" t="s">
        <v>322</v>
      </c>
      <c r="C132" s="182">
        <v>2015</v>
      </c>
      <c r="D132" s="180" t="s">
        <v>105</v>
      </c>
      <c r="E132" s="179">
        <v>2018</v>
      </c>
      <c r="F132" s="273" t="s">
        <v>106</v>
      </c>
      <c r="G132" s="92" t="s">
        <v>323</v>
      </c>
      <c r="H132" s="507" t="s">
        <v>808</v>
      </c>
      <c r="I132" s="184">
        <v>72</v>
      </c>
      <c r="J132" s="184">
        <v>2335</v>
      </c>
      <c r="K132" s="95">
        <v>5.3211000000000004</v>
      </c>
      <c r="L132" s="96">
        <f>120792.5*K132</f>
        <v>642748.97175000003</v>
      </c>
      <c r="M132" s="97" t="s">
        <v>315</v>
      </c>
    </row>
    <row r="133" spans="1:13" s="23" customFormat="1" ht="39.75" customHeight="1" x14ac:dyDescent="0.2">
      <c r="A133" s="183">
        <v>1609</v>
      </c>
      <c r="B133" s="501" t="s">
        <v>324</v>
      </c>
      <c r="C133" s="182">
        <v>2015</v>
      </c>
      <c r="D133" s="190" t="s">
        <v>105</v>
      </c>
      <c r="E133" s="179">
        <v>2018</v>
      </c>
      <c r="F133" s="186" t="s">
        <v>106</v>
      </c>
      <c r="G133" s="92" t="s">
        <v>325</v>
      </c>
      <c r="H133" s="507" t="s">
        <v>809</v>
      </c>
      <c r="I133" s="184">
        <v>73</v>
      </c>
      <c r="J133" s="184">
        <v>2336</v>
      </c>
      <c r="K133" s="95">
        <v>5.3207000000000004</v>
      </c>
      <c r="L133" s="96">
        <f>115221.5*K133</f>
        <v>613059.03505000006</v>
      </c>
      <c r="M133" s="97" t="s">
        <v>315</v>
      </c>
    </row>
    <row r="134" spans="1:13" s="23" customFormat="1" ht="40.5" customHeight="1" x14ac:dyDescent="0.2">
      <c r="A134" s="359"/>
      <c r="B134" s="501" t="s">
        <v>326</v>
      </c>
      <c r="C134" s="360">
        <v>2014</v>
      </c>
      <c r="D134" s="89" t="s">
        <v>327</v>
      </c>
      <c r="E134" s="361" t="s">
        <v>51</v>
      </c>
      <c r="F134" s="360" t="s">
        <v>328</v>
      </c>
      <c r="G134" s="92" t="s">
        <v>687</v>
      </c>
      <c r="H134" s="364" t="s">
        <v>331</v>
      </c>
      <c r="I134" s="363">
        <v>74</v>
      </c>
      <c r="J134" s="363">
        <v>2337</v>
      </c>
      <c r="K134" s="95">
        <v>5.3883999999999999</v>
      </c>
      <c r="L134" s="96">
        <f>37898*K134</f>
        <v>204209.58319999999</v>
      </c>
      <c r="M134" s="97" t="s">
        <v>315</v>
      </c>
    </row>
    <row r="135" spans="1:13" s="23" customFormat="1" ht="20.25" customHeight="1" x14ac:dyDescent="0.2">
      <c r="A135" s="527"/>
      <c r="B135" s="530" t="s">
        <v>333</v>
      </c>
      <c r="C135" s="530">
        <v>2013</v>
      </c>
      <c r="D135" s="533" t="s">
        <v>334</v>
      </c>
      <c r="E135" s="534" t="s">
        <v>313</v>
      </c>
      <c r="F135" s="530" t="s">
        <v>335</v>
      </c>
      <c r="G135" s="92" t="s">
        <v>336</v>
      </c>
      <c r="H135" s="517" t="s">
        <v>810</v>
      </c>
      <c r="I135" s="521">
        <v>75</v>
      </c>
      <c r="J135" s="521">
        <v>2338</v>
      </c>
      <c r="K135" s="95">
        <v>275.12</v>
      </c>
      <c r="L135" s="96">
        <f>6000*K135</f>
        <v>1650720</v>
      </c>
      <c r="M135" s="97" t="s">
        <v>337</v>
      </c>
    </row>
    <row r="136" spans="1:13" s="23" customFormat="1" ht="131.25" customHeight="1" x14ac:dyDescent="0.2">
      <c r="A136" s="553"/>
      <c r="B136" s="538"/>
      <c r="C136" s="538"/>
      <c r="D136" s="539"/>
      <c r="E136" s="539"/>
      <c r="F136" s="538"/>
      <c r="G136" s="92" t="s">
        <v>348</v>
      </c>
      <c r="H136" s="556"/>
      <c r="I136" s="522"/>
      <c r="J136" s="522"/>
      <c r="K136" s="95">
        <v>390.71</v>
      </c>
      <c r="L136" s="96">
        <f>4045.13*K136</f>
        <v>1580472.7423</v>
      </c>
      <c r="M136" s="97" t="s">
        <v>345</v>
      </c>
    </row>
    <row r="137" spans="1:13" s="23" customFormat="1" ht="27" customHeight="1" x14ac:dyDescent="0.2">
      <c r="A137" s="299"/>
      <c r="B137" s="501" t="s">
        <v>338</v>
      </c>
      <c r="C137" s="300">
        <v>2011</v>
      </c>
      <c r="D137" s="301" t="s">
        <v>339</v>
      </c>
      <c r="E137" s="302" t="s">
        <v>55</v>
      </c>
      <c r="F137" s="300" t="s">
        <v>38</v>
      </c>
      <c r="G137" s="92" t="s">
        <v>14</v>
      </c>
      <c r="H137" s="303" t="s">
        <v>183</v>
      </c>
      <c r="I137" s="297">
        <v>76</v>
      </c>
      <c r="J137" s="297">
        <v>2339</v>
      </c>
      <c r="K137" s="95">
        <v>319.36</v>
      </c>
      <c r="L137" s="96">
        <f>5000*K137</f>
        <v>1596800</v>
      </c>
      <c r="M137" s="97" t="s">
        <v>337</v>
      </c>
    </row>
    <row r="138" spans="1:13" s="23" customFormat="1" ht="24.75" customHeight="1" x14ac:dyDescent="0.2">
      <c r="A138" s="527"/>
      <c r="B138" s="530" t="s">
        <v>169</v>
      </c>
      <c r="C138" s="530">
        <v>2012</v>
      </c>
      <c r="D138" s="533" t="s">
        <v>170</v>
      </c>
      <c r="E138" s="534" t="s">
        <v>204</v>
      </c>
      <c r="F138" s="530" t="s">
        <v>38</v>
      </c>
      <c r="G138" s="515" t="s">
        <v>559</v>
      </c>
      <c r="H138" s="517" t="s">
        <v>183</v>
      </c>
      <c r="I138" s="521">
        <v>77</v>
      </c>
      <c r="J138" s="521">
        <v>2340</v>
      </c>
      <c r="K138" s="508">
        <v>319.36</v>
      </c>
      <c r="L138" s="511">
        <f>1500*K138</f>
        <v>479040</v>
      </c>
      <c r="M138" s="512" t="s">
        <v>337</v>
      </c>
    </row>
    <row r="139" spans="1:13" s="23" customFormat="1" ht="39" customHeight="1" x14ac:dyDescent="0.2">
      <c r="A139" s="537"/>
      <c r="B139" s="539"/>
      <c r="C139" s="539"/>
      <c r="D139" s="539"/>
      <c r="E139" s="539"/>
      <c r="F139" s="539"/>
      <c r="G139" s="516"/>
      <c r="H139" s="518"/>
      <c r="I139" s="524"/>
      <c r="J139" s="524"/>
      <c r="K139" s="519"/>
      <c r="L139" s="519"/>
      <c r="M139" s="520"/>
    </row>
    <row r="140" spans="1:13" s="23" customFormat="1" ht="17.25" customHeight="1" x14ac:dyDescent="0.2">
      <c r="A140" s="527"/>
      <c r="B140" s="530" t="s">
        <v>26</v>
      </c>
      <c r="C140" s="530">
        <v>2015</v>
      </c>
      <c r="D140" s="533" t="s">
        <v>27</v>
      </c>
      <c r="E140" s="534" t="s">
        <v>71</v>
      </c>
      <c r="F140" s="530" t="s">
        <v>38</v>
      </c>
      <c r="G140" s="92" t="s">
        <v>14</v>
      </c>
      <c r="H140" s="517" t="s">
        <v>16</v>
      </c>
      <c r="I140" s="521">
        <v>78</v>
      </c>
      <c r="J140" s="521">
        <v>2341</v>
      </c>
      <c r="K140" s="95">
        <v>319.36</v>
      </c>
      <c r="L140" s="96">
        <f>5000*K140</f>
        <v>1596800</v>
      </c>
      <c r="M140" s="97" t="s">
        <v>337</v>
      </c>
    </row>
    <row r="141" spans="1:13" s="23" customFormat="1" ht="18.75" customHeight="1" x14ac:dyDescent="0.2">
      <c r="A141" s="537"/>
      <c r="B141" s="539"/>
      <c r="C141" s="539"/>
      <c r="D141" s="539"/>
      <c r="E141" s="539"/>
      <c r="F141" s="539"/>
      <c r="G141" s="92" t="s">
        <v>14</v>
      </c>
      <c r="H141" s="518"/>
      <c r="I141" s="524"/>
      <c r="J141" s="524"/>
      <c r="K141" s="95">
        <v>319.36</v>
      </c>
      <c r="L141" s="96">
        <f>5000*K141</f>
        <v>1596800</v>
      </c>
      <c r="M141" s="97" t="s">
        <v>356</v>
      </c>
    </row>
    <row r="142" spans="1:13" s="23" customFormat="1" ht="17.25" customHeight="1" x14ac:dyDescent="0.2">
      <c r="A142" s="543">
        <v>1610</v>
      </c>
      <c r="B142" s="544" t="s">
        <v>340</v>
      </c>
      <c r="C142" s="544">
        <v>2016</v>
      </c>
      <c r="D142" s="562" t="s">
        <v>341</v>
      </c>
      <c r="E142" s="545">
        <v>2018</v>
      </c>
      <c r="F142" s="544" t="s">
        <v>342</v>
      </c>
      <c r="G142" s="81" t="s">
        <v>343</v>
      </c>
      <c r="H142" s="547" t="s">
        <v>183</v>
      </c>
      <c r="I142" s="549">
        <v>79</v>
      </c>
      <c r="J142" s="549">
        <v>2342</v>
      </c>
      <c r="K142" s="82">
        <v>393</v>
      </c>
      <c r="L142" s="83">
        <f>5000*K142</f>
        <v>1965000</v>
      </c>
      <c r="M142" s="65" t="s">
        <v>337</v>
      </c>
    </row>
    <row r="143" spans="1:13" s="23" customFormat="1" ht="16.5" customHeight="1" x14ac:dyDescent="0.2">
      <c r="A143" s="564"/>
      <c r="B143" s="566"/>
      <c r="C143" s="566"/>
      <c r="D143" s="563"/>
      <c r="E143" s="568"/>
      <c r="F143" s="566"/>
      <c r="G143" s="81" t="s">
        <v>344</v>
      </c>
      <c r="H143" s="569"/>
      <c r="I143" s="571"/>
      <c r="J143" s="571"/>
      <c r="K143" s="82">
        <v>390.78</v>
      </c>
      <c r="L143" s="83">
        <f>8000*K143</f>
        <v>3126240</v>
      </c>
      <c r="M143" s="65" t="s">
        <v>345</v>
      </c>
    </row>
    <row r="144" spans="1:13" s="23" customFormat="1" ht="19.5" customHeight="1" x14ac:dyDescent="0.2">
      <c r="A144" s="565"/>
      <c r="B144" s="567"/>
      <c r="C144" s="567"/>
      <c r="D144" s="532"/>
      <c r="E144" s="546"/>
      <c r="F144" s="567"/>
      <c r="G144" s="81" t="s">
        <v>346</v>
      </c>
      <c r="H144" s="570"/>
      <c r="I144" s="572"/>
      <c r="J144" s="572"/>
      <c r="K144" s="82">
        <v>389.2</v>
      </c>
      <c r="L144" s="83">
        <f>7700*K144</f>
        <v>2996840</v>
      </c>
      <c r="M144" s="65" t="s">
        <v>347</v>
      </c>
    </row>
    <row r="145" spans="1:13" s="23" customFormat="1" ht="52.5" customHeight="1" x14ac:dyDescent="0.2">
      <c r="A145" s="174"/>
      <c r="B145" s="501" t="s">
        <v>349</v>
      </c>
      <c r="C145" s="173">
        <v>2011</v>
      </c>
      <c r="D145" s="89" t="s">
        <v>350</v>
      </c>
      <c r="E145" s="176" t="s">
        <v>180</v>
      </c>
      <c r="F145" s="173" t="s">
        <v>38</v>
      </c>
      <c r="G145" s="92" t="s">
        <v>351</v>
      </c>
      <c r="H145" s="171" t="s">
        <v>16</v>
      </c>
      <c r="I145" s="172">
        <v>80</v>
      </c>
      <c r="J145" s="172">
        <v>2343</v>
      </c>
      <c r="K145" s="95">
        <v>319.36</v>
      </c>
      <c r="L145" s="96">
        <f>900*K145</f>
        <v>287424</v>
      </c>
      <c r="M145" s="97" t="s">
        <v>345</v>
      </c>
    </row>
    <row r="146" spans="1:13" s="23" customFormat="1" ht="21.75" customHeight="1" x14ac:dyDescent="0.2">
      <c r="A146" s="527"/>
      <c r="B146" s="530" t="s">
        <v>357</v>
      </c>
      <c r="C146" s="530">
        <v>2014</v>
      </c>
      <c r="D146" s="533" t="s">
        <v>358</v>
      </c>
      <c r="E146" s="534" t="s">
        <v>129</v>
      </c>
      <c r="F146" s="530" t="s">
        <v>200</v>
      </c>
      <c r="G146" s="92" t="s">
        <v>439</v>
      </c>
      <c r="H146" s="517" t="s">
        <v>560</v>
      </c>
      <c r="I146" s="521">
        <v>81</v>
      </c>
      <c r="J146" s="521">
        <v>2344</v>
      </c>
      <c r="K146" s="95">
        <v>5.3544</v>
      </c>
      <c r="L146" s="96">
        <f>20614.92*K146</f>
        <v>110380.52764799999</v>
      </c>
      <c r="M146" s="97" t="s">
        <v>356</v>
      </c>
    </row>
    <row r="147" spans="1:13" s="23" customFormat="1" ht="42.75" customHeight="1" x14ac:dyDescent="0.2">
      <c r="A147" s="537"/>
      <c r="B147" s="539"/>
      <c r="C147" s="539"/>
      <c r="D147" s="539"/>
      <c r="E147" s="539"/>
      <c r="F147" s="539"/>
      <c r="G147" s="92" t="s">
        <v>408</v>
      </c>
      <c r="H147" s="518"/>
      <c r="I147" s="524"/>
      <c r="J147" s="524"/>
      <c r="K147" s="95">
        <v>5.4294000000000002</v>
      </c>
      <c r="L147" s="96">
        <f>219314.94*K147</f>
        <v>1190748.5352360001</v>
      </c>
      <c r="M147" s="97" t="s">
        <v>409</v>
      </c>
    </row>
    <row r="148" spans="1:13" s="23" customFormat="1" ht="39" customHeight="1" x14ac:dyDescent="0.2">
      <c r="A148" s="205">
        <v>1611</v>
      </c>
      <c r="B148" s="501" t="s">
        <v>359</v>
      </c>
      <c r="C148" s="206">
        <v>2014</v>
      </c>
      <c r="D148" s="393" t="s">
        <v>105</v>
      </c>
      <c r="E148" s="207">
        <v>2018</v>
      </c>
      <c r="F148" s="394" t="s">
        <v>106</v>
      </c>
      <c r="G148" s="92" t="s">
        <v>360</v>
      </c>
      <c r="H148" s="208" t="s">
        <v>16</v>
      </c>
      <c r="I148" s="209">
        <v>82</v>
      </c>
      <c r="J148" s="209">
        <v>2345</v>
      </c>
      <c r="K148" s="95">
        <v>5.3901000000000003</v>
      </c>
      <c r="L148" s="96">
        <f>114651.83*K148</f>
        <v>617984.82888300007</v>
      </c>
      <c r="M148" s="97" t="s">
        <v>361</v>
      </c>
    </row>
    <row r="149" spans="1:13" s="23" customFormat="1" ht="40.5" customHeight="1" x14ac:dyDescent="0.2">
      <c r="A149" s="185">
        <v>1612</v>
      </c>
      <c r="B149" s="501" t="s">
        <v>362</v>
      </c>
      <c r="C149" s="186">
        <v>2007</v>
      </c>
      <c r="D149" s="89" t="s">
        <v>363</v>
      </c>
      <c r="E149" s="187">
        <v>2018</v>
      </c>
      <c r="F149" s="186" t="s">
        <v>364</v>
      </c>
      <c r="G149" s="92" t="s">
        <v>365</v>
      </c>
      <c r="H149" s="188" t="s">
        <v>16</v>
      </c>
      <c r="I149" s="189">
        <v>83</v>
      </c>
      <c r="J149" s="189">
        <v>2346</v>
      </c>
      <c r="K149" s="95">
        <v>5.4593999999999996</v>
      </c>
      <c r="L149" s="96">
        <f>77800*K149</f>
        <v>424741.31999999995</v>
      </c>
      <c r="M149" s="97" t="s">
        <v>361</v>
      </c>
    </row>
    <row r="150" spans="1:13" s="23" customFormat="1" ht="27.75" customHeight="1" x14ac:dyDescent="0.2">
      <c r="A150" s="261"/>
      <c r="B150" s="501" t="s">
        <v>366</v>
      </c>
      <c r="C150" s="262">
        <v>2012</v>
      </c>
      <c r="D150" s="259" t="s">
        <v>367</v>
      </c>
      <c r="E150" s="263">
        <v>2018</v>
      </c>
      <c r="F150" s="262" t="s">
        <v>225</v>
      </c>
      <c r="G150" s="92" t="s">
        <v>98</v>
      </c>
      <c r="H150" s="264" t="s">
        <v>16</v>
      </c>
      <c r="I150" s="265">
        <v>84</v>
      </c>
      <c r="J150" s="265">
        <v>2347</v>
      </c>
      <c r="K150" s="95">
        <v>5.4630000000000001</v>
      </c>
      <c r="L150" s="96">
        <f>44990*K150</f>
        <v>245780.37</v>
      </c>
      <c r="M150" s="97" t="s">
        <v>361</v>
      </c>
    </row>
    <row r="151" spans="1:13" s="23" customFormat="1" ht="27.75" customHeight="1" x14ac:dyDescent="0.2">
      <c r="A151" s="261"/>
      <c r="B151" s="501" t="s">
        <v>368</v>
      </c>
      <c r="C151" s="262">
        <v>2012</v>
      </c>
      <c r="D151" s="259" t="s">
        <v>367</v>
      </c>
      <c r="E151" s="263">
        <v>2018</v>
      </c>
      <c r="F151" s="262" t="s">
        <v>225</v>
      </c>
      <c r="G151" s="92" t="s">
        <v>98</v>
      </c>
      <c r="H151" s="264" t="s">
        <v>16</v>
      </c>
      <c r="I151" s="265">
        <v>85</v>
      </c>
      <c r="J151" s="265">
        <v>2348</v>
      </c>
      <c r="K151" s="95">
        <v>5.4611999999999998</v>
      </c>
      <c r="L151" s="96">
        <f>44990*K151</f>
        <v>245699.38800000001</v>
      </c>
      <c r="M151" s="97" t="s">
        <v>361</v>
      </c>
    </row>
    <row r="152" spans="1:13" s="23" customFormat="1" ht="64.5" customHeight="1" x14ac:dyDescent="0.2">
      <c r="A152" s="211"/>
      <c r="B152" s="501" t="s">
        <v>226</v>
      </c>
      <c r="C152" s="212">
        <v>2004</v>
      </c>
      <c r="D152" s="215" t="s">
        <v>227</v>
      </c>
      <c r="E152" s="213" t="s">
        <v>51</v>
      </c>
      <c r="F152" s="222" t="s">
        <v>228</v>
      </c>
      <c r="G152" s="92" t="s">
        <v>443</v>
      </c>
      <c r="H152" s="267" t="s">
        <v>183</v>
      </c>
      <c r="I152" s="214">
        <v>86</v>
      </c>
      <c r="J152" s="214">
        <v>2349</v>
      </c>
      <c r="K152" s="95">
        <v>5.4245000000000001</v>
      </c>
      <c r="L152" s="96">
        <f>131440*K152</f>
        <v>712996.28</v>
      </c>
      <c r="M152" s="97" t="s">
        <v>369</v>
      </c>
    </row>
    <row r="153" spans="1:13" s="23" customFormat="1" ht="21.75" customHeight="1" x14ac:dyDescent="0.2">
      <c r="A153" s="527">
        <v>1613</v>
      </c>
      <c r="B153" s="530" t="s">
        <v>371</v>
      </c>
      <c r="C153" s="530">
        <v>2010</v>
      </c>
      <c r="D153" s="541" t="s">
        <v>372</v>
      </c>
      <c r="E153" s="534">
        <v>2018</v>
      </c>
      <c r="F153" s="530" t="s">
        <v>38</v>
      </c>
      <c r="G153" s="92" t="s">
        <v>116</v>
      </c>
      <c r="H153" s="517" t="s">
        <v>811</v>
      </c>
      <c r="I153" s="521">
        <v>87</v>
      </c>
      <c r="J153" s="521">
        <v>2350</v>
      </c>
      <c r="K153" s="95">
        <v>319.36</v>
      </c>
      <c r="L153" s="96">
        <f>2000*K153</f>
        <v>638720</v>
      </c>
      <c r="M153" s="97" t="s">
        <v>370</v>
      </c>
    </row>
    <row r="154" spans="1:13" s="23" customFormat="1" ht="19.5" customHeight="1" x14ac:dyDescent="0.2">
      <c r="A154" s="528"/>
      <c r="B154" s="531"/>
      <c r="C154" s="531"/>
      <c r="D154" s="559"/>
      <c r="E154" s="531"/>
      <c r="F154" s="531"/>
      <c r="G154" s="92" t="s">
        <v>391</v>
      </c>
      <c r="H154" s="535"/>
      <c r="I154" s="525"/>
      <c r="J154" s="525"/>
      <c r="K154" s="95">
        <v>319.36</v>
      </c>
      <c r="L154" s="96">
        <f>7500*K154</f>
        <v>2395200</v>
      </c>
      <c r="M154" s="97" t="s">
        <v>392</v>
      </c>
    </row>
    <row r="155" spans="1:13" s="23" customFormat="1" ht="49.5" customHeight="1" x14ac:dyDescent="0.2">
      <c r="A155" s="537"/>
      <c r="B155" s="539"/>
      <c r="C155" s="539"/>
      <c r="D155" s="542"/>
      <c r="E155" s="539"/>
      <c r="F155" s="539"/>
      <c r="G155" s="81" t="s">
        <v>391</v>
      </c>
      <c r="H155" s="518"/>
      <c r="I155" s="524"/>
      <c r="J155" s="524"/>
      <c r="K155" s="82">
        <v>319.36</v>
      </c>
      <c r="L155" s="83">
        <f>7500*K155</f>
        <v>2395200</v>
      </c>
      <c r="M155" s="65" t="s">
        <v>405</v>
      </c>
    </row>
    <row r="156" spans="1:13" s="23" customFormat="1" ht="66.75" customHeight="1" x14ac:dyDescent="0.2">
      <c r="A156" s="233"/>
      <c r="B156" s="501" t="s">
        <v>373</v>
      </c>
      <c r="C156" s="234">
        <v>2008</v>
      </c>
      <c r="D156" s="89" t="s">
        <v>374</v>
      </c>
      <c r="E156" s="235" t="s">
        <v>313</v>
      </c>
      <c r="F156" s="234" t="s">
        <v>375</v>
      </c>
      <c r="G156" s="92" t="s">
        <v>472</v>
      </c>
      <c r="H156" s="236" t="s">
        <v>16</v>
      </c>
      <c r="I156" s="237">
        <v>88</v>
      </c>
      <c r="J156" s="237">
        <v>2351</v>
      </c>
      <c r="K156" s="95">
        <v>5.4099000000000004</v>
      </c>
      <c r="L156" s="96">
        <f>131450*K156</f>
        <v>711131.3550000001</v>
      </c>
      <c r="M156" s="97" t="s">
        <v>376</v>
      </c>
    </row>
    <row r="157" spans="1:13" s="23" customFormat="1" ht="27" customHeight="1" x14ac:dyDescent="0.2">
      <c r="A157" s="527"/>
      <c r="B157" s="530" t="s">
        <v>108</v>
      </c>
      <c r="C157" s="530">
        <v>2016</v>
      </c>
      <c r="D157" s="533" t="s">
        <v>105</v>
      </c>
      <c r="E157" s="207" t="s">
        <v>55</v>
      </c>
      <c r="F157" s="530" t="s">
        <v>106</v>
      </c>
      <c r="G157" s="92" t="s">
        <v>377</v>
      </c>
      <c r="H157" s="517" t="s">
        <v>16</v>
      </c>
      <c r="I157" s="521">
        <v>89</v>
      </c>
      <c r="J157" s="521">
        <v>2352</v>
      </c>
      <c r="K157" s="95">
        <v>5.4261999999999997</v>
      </c>
      <c r="L157" s="96">
        <f>129917.42*K157</f>
        <v>704957.90440399991</v>
      </c>
      <c r="M157" s="97" t="s">
        <v>378</v>
      </c>
    </row>
    <row r="158" spans="1:13" s="23" customFormat="1" ht="29.25" customHeight="1" x14ac:dyDescent="0.2">
      <c r="A158" s="529"/>
      <c r="B158" s="532"/>
      <c r="C158" s="532"/>
      <c r="D158" s="532"/>
      <c r="E158" s="229" t="s">
        <v>47</v>
      </c>
      <c r="F158" s="532"/>
      <c r="G158" s="92" t="s">
        <v>428</v>
      </c>
      <c r="H158" s="548"/>
      <c r="I158" s="550"/>
      <c r="J158" s="550"/>
      <c r="K158" s="95">
        <v>5.55</v>
      </c>
      <c r="L158" s="96">
        <f>15778*K158</f>
        <v>87567.9</v>
      </c>
      <c r="M158" s="97" t="s">
        <v>429</v>
      </c>
    </row>
    <row r="159" spans="1:13" s="23" customFormat="1" ht="39" customHeight="1" x14ac:dyDescent="0.2">
      <c r="A159" s="205">
        <v>1614</v>
      </c>
      <c r="B159" s="501" t="s">
        <v>379</v>
      </c>
      <c r="C159" s="206">
        <v>2012</v>
      </c>
      <c r="D159" s="89" t="s">
        <v>105</v>
      </c>
      <c r="E159" s="207">
        <v>2018</v>
      </c>
      <c r="F159" s="88" t="s">
        <v>106</v>
      </c>
      <c r="G159" s="92" t="s">
        <v>380</v>
      </c>
      <c r="H159" s="208" t="s">
        <v>16</v>
      </c>
      <c r="I159" s="209">
        <v>90</v>
      </c>
      <c r="J159" s="209">
        <v>2353</v>
      </c>
      <c r="K159" s="95">
        <v>5.4253999999999998</v>
      </c>
      <c r="L159" s="96">
        <f>127367.42*K159</f>
        <v>691019.20046799991</v>
      </c>
      <c r="M159" s="97" t="s">
        <v>378</v>
      </c>
    </row>
    <row r="160" spans="1:13" s="23" customFormat="1" ht="39" customHeight="1" x14ac:dyDescent="0.2">
      <c r="A160" s="205"/>
      <c r="B160" s="501" t="s">
        <v>381</v>
      </c>
      <c r="C160" s="206">
        <v>2011</v>
      </c>
      <c r="D160" s="89" t="s">
        <v>105</v>
      </c>
      <c r="E160" s="207" t="s">
        <v>51</v>
      </c>
      <c r="F160" s="88" t="s">
        <v>106</v>
      </c>
      <c r="G160" s="92" t="s">
        <v>382</v>
      </c>
      <c r="H160" s="208" t="s">
        <v>16</v>
      </c>
      <c r="I160" s="209">
        <v>91</v>
      </c>
      <c r="J160" s="209">
        <v>2354</v>
      </c>
      <c r="K160" s="95">
        <v>5.4245999999999999</v>
      </c>
      <c r="L160" s="96">
        <f>126150.42*K160</f>
        <v>684315.56833199994</v>
      </c>
      <c r="M160" s="97" t="s">
        <v>378</v>
      </c>
    </row>
    <row r="161" spans="1:14" s="23" customFormat="1" ht="39.75" customHeight="1" x14ac:dyDescent="0.2">
      <c r="A161" s="205">
        <v>1615</v>
      </c>
      <c r="B161" s="501" t="s">
        <v>383</v>
      </c>
      <c r="C161" s="206">
        <v>2017</v>
      </c>
      <c r="D161" s="89" t="s">
        <v>105</v>
      </c>
      <c r="E161" s="207">
        <v>2018</v>
      </c>
      <c r="F161" s="88" t="s">
        <v>106</v>
      </c>
      <c r="G161" s="92" t="s">
        <v>384</v>
      </c>
      <c r="H161" s="208" t="s">
        <v>16</v>
      </c>
      <c r="I161" s="209">
        <v>92</v>
      </c>
      <c r="J161" s="209">
        <v>2355</v>
      </c>
      <c r="K161" s="95">
        <v>5.4283000000000001</v>
      </c>
      <c r="L161" s="96">
        <f>103941.83*K161</f>
        <v>564227.43578900001</v>
      </c>
      <c r="M161" s="97" t="s">
        <v>378</v>
      </c>
    </row>
    <row r="162" spans="1:14" s="23" customFormat="1" ht="16.5" customHeight="1" x14ac:dyDescent="0.2">
      <c r="A162" s="527"/>
      <c r="B162" s="530" t="s">
        <v>385</v>
      </c>
      <c r="C162" s="530">
        <v>2009</v>
      </c>
      <c r="D162" s="533" t="s">
        <v>386</v>
      </c>
      <c r="E162" s="534" t="s">
        <v>55</v>
      </c>
      <c r="F162" s="530" t="s">
        <v>387</v>
      </c>
      <c r="G162" s="92" t="s">
        <v>10</v>
      </c>
      <c r="H162" s="517" t="s">
        <v>812</v>
      </c>
      <c r="I162" s="521">
        <v>93</v>
      </c>
      <c r="J162" s="521">
        <v>2356</v>
      </c>
      <c r="K162" s="95">
        <v>319.36</v>
      </c>
      <c r="L162" s="96">
        <f>9000*K162</f>
        <v>2874240</v>
      </c>
      <c r="M162" s="97" t="s">
        <v>388</v>
      </c>
    </row>
    <row r="163" spans="1:14" s="23" customFormat="1" ht="18.75" customHeight="1" x14ac:dyDescent="0.2">
      <c r="A163" s="552"/>
      <c r="B163" s="554"/>
      <c r="C163" s="554"/>
      <c r="D163" s="531"/>
      <c r="E163" s="531"/>
      <c r="F163" s="554"/>
      <c r="G163" s="92" t="s">
        <v>10</v>
      </c>
      <c r="H163" s="551"/>
      <c r="I163" s="523"/>
      <c r="J163" s="523"/>
      <c r="K163" s="95">
        <v>319.36</v>
      </c>
      <c r="L163" s="96">
        <f>9000*K163</f>
        <v>2874240</v>
      </c>
      <c r="M163" s="97" t="s">
        <v>388</v>
      </c>
    </row>
    <row r="164" spans="1:14" s="23" customFormat="1" ht="17.25" customHeight="1" x14ac:dyDescent="0.2">
      <c r="A164" s="552"/>
      <c r="B164" s="554"/>
      <c r="C164" s="554"/>
      <c r="D164" s="531"/>
      <c r="E164" s="531"/>
      <c r="F164" s="554"/>
      <c r="G164" s="92" t="s">
        <v>10</v>
      </c>
      <c r="H164" s="551"/>
      <c r="I164" s="523"/>
      <c r="J164" s="523"/>
      <c r="K164" s="95">
        <v>319.36</v>
      </c>
      <c r="L164" s="96">
        <f>9000*K164</f>
        <v>2874240</v>
      </c>
      <c r="M164" s="97" t="s">
        <v>389</v>
      </c>
    </row>
    <row r="165" spans="1:14" s="23" customFormat="1" ht="15.75" customHeight="1" x14ac:dyDescent="0.2">
      <c r="A165" s="552"/>
      <c r="B165" s="554"/>
      <c r="C165" s="554"/>
      <c r="D165" s="531"/>
      <c r="E165" s="531"/>
      <c r="F165" s="554"/>
      <c r="G165" s="92" t="s">
        <v>10</v>
      </c>
      <c r="H165" s="551"/>
      <c r="I165" s="523"/>
      <c r="J165" s="523"/>
      <c r="K165" s="95">
        <v>319.36</v>
      </c>
      <c r="L165" s="96">
        <f>9000*K165</f>
        <v>2874240</v>
      </c>
      <c r="M165" s="97" t="s">
        <v>390</v>
      </c>
    </row>
    <row r="166" spans="1:14" s="23" customFormat="1" ht="61.5" customHeight="1" x14ac:dyDescent="0.2">
      <c r="A166" s="537"/>
      <c r="B166" s="539"/>
      <c r="C166" s="539"/>
      <c r="D166" s="539"/>
      <c r="E166" s="539"/>
      <c r="F166" s="539"/>
      <c r="G166" s="92" t="s">
        <v>690</v>
      </c>
      <c r="H166" s="518"/>
      <c r="I166" s="524"/>
      <c r="J166" s="524"/>
      <c r="K166" s="95">
        <v>319.36</v>
      </c>
      <c r="L166" s="96">
        <f>2562.72*K166</f>
        <v>818430.25919999997</v>
      </c>
      <c r="M166" s="97" t="s">
        <v>399</v>
      </c>
    </row>
    <row r="167" spans="1:14" s="23" customFormat="1" ht="53.25" customHeight="1" x14ac:dyDescent="0.2">
      <c r="A167" s="196"/>
      <c r="B167" s="501" t="s">
        <v>395</v>
      </c>
      <c r="C167" s="197">
        <v>2013</v>
      </c>
      <c r="D167" s="198" t="s">
        <v>396</v>
      </c>
      <c r="E167" s="202" t="s">
        <v>313</v>
      </c>
      <c r="F167" s="197" t="s">
        <v>397</v>
      </c>
      <c r="G167" s="92" t="s">
        <v>398</v>
      </c>
      <c r="H167" s="199" t="s">
        <v>16</v>
      </c>
      <c r="I167" s="200">
        <v>94</v>
      </c>
      <c r="J167" s="200">
        <v>2357</v>
      </c>
      <c r="K167" s="95">
        <v>5.4</v>
      </c>
      <c r="L167" s="96">
        <f>38220*K167</f>
        <v>206388</v>
      </c>
      <c r="M167" s="97" t="s">
        <v>399</v>
      </c>
      <c r="N167" s="203"/>
    </row>
    <row r="168" spans="1:14" s="23" customFormat="1" ht="66.75" customHeight="1" x14ac:dyDescent="0.2">
      <c r="A168" s="280">
        <v>1616</v>
      </c>
      <c r="B168" s="501" t="s">
        <v>406</v>
      </c>
      <c r="C168" s="281">
        <v>2007</v>
      </c>
      <c r="D168" s="89" t="s">
        <v>407</v>
      </c>
      <c r="E168" s="282">
        <v>2018</v>
      </c>
      <c r="F168" s="281" t="s">
        <v>38</v>
      </c>
      <c r="G168" s="92" t="s">
        <v>571</v>
      </c>
      <c r="H168" s="507" t="s">
        <v>813</v>
      </c>
      <c r="I168" s="283">
        <v>95</v>
      </c>
      <c r="J168" s="283">
        <v>2358</v>
      </c>
      <c r="K168" s="95">
        <v>319.36</v>
      </c>
      <c r="L168" s="96">
        <f>6500*K168</f>
        <v>2075840</v>
      </c>
      <c r="M168" s="97" t="s">
        <v>405</v>
      </c>
      <c r="N168" s="203"/>
    </row>
    <row r="169" spans="1:14" s="23" customFormat="1" ht="18.75" customHeight="1" x14ac:dyDescent="0.2">
      <c r="A169" s="527"/>
      <c r="B169" s="530" t="s">
        <v>132</v>
      </c>
      <c r="C169" s="530">
        <v>2009</v>
      </c>
      <c r="D169" s="533" t="s">
        <v>128</v>
      </c>
      <c r="E169" s="534" t="s">
        <v>51</v>
      </c>
      <c r="F169" s="530" t="s">
        <v>410</v>
      </c>
      <c r="G169" s="92" t="s">
        <v>10</v>
      </c>
      <c r="H169" s="517" t="s">
        <v>16</v>
      </c>
      <c r="I169" s="521">
        <v>96</v>
      </c>
      <c r="J169" s="521">
        <v>2359</v>
      </c>
      <c r="K169" s="95">
        <v>319.36</v>
      </c>
      <c r="L169" s="96">
        <f>9000*K169</f>
        <v>2874240</v>
      </c>
      <c r="M169" s="97" t="s">
        <v>409</v>
      </c>
      <c r="N169" s="203"/>
    </row>
    <row r="170" spans="1:14" s="23" customFormat="1" ht="18.75" customHeight="1" x14ac:dyDescent="0.2">
      <c r="A170" s="537"/>
      <c r="B170" s="539"/>
      <c r="C170" s="539"/>
      <c r="D170" s="539"/>
      <c r="E170" s="539"/>
      <c r="F170" s="539"/>
      <c r="G170" s="92" t="s">
        <v>417</v>
      </c>
      <c r="H170" s="518"/>
      <c r="I170" s="524"/>
      <c r="J170" s="524"/>
      <c r="K170" s="95">
        <v>319.36</v>
      </c>
      <c r="L170" s="96">
        <f>7700*K170</f>
        <v>2459072</v>
      </c>
      <c r="M170" s="97" t="s">
        <v>414</v>
      </c>
      <c r="N170" s="203"/>
    </row>
    <row r="171" spans="1:14" s="23" customFormat="1" ht="66" customHeight="1" x14ac:dyDescent="0.2">
      <c r="A171" s="216"/>
      <c r="B171" s="501" t="s">
        <v>213</v>
      </c>
      <c r="C171" s="217">
        <v>2006</v>
      </c>
      <c r="D171" s="221" t="s">
        <v>214</v>
      </c>
      <c r="E171" s="218" t="s">
        <v>47</v>
      </c>
      <c r="F171" s="360" t="s">
        <v>200</v>
      </c>
      <c r="G171" s="92" t="s">
        <v>438</v>
      </c>
      <c r="H171" s="219" t="s">
        <v>16</v>
      </c>
      <c r="I171" s="220"/>
      <c r="J171" s="220"/>
      <c r="K171" s="95">
        <v>5.4292999999999996</v>
      </c>
      <c r="L171" s="96">
        <f>135375.39*K171</f>
        <v>734993.60492700001</v>
      </c>
      <c r="M171" s="97" t="s">
        <v>409</v>
      </c>
      <c r="N171" s="203"/>
    </row>
    <row r="172" spans="1:14" s="23" customFormat="1" ht="19.5" customHeight="1" x14ac:dyDescent="0.2">
      <c r="A172" s="527"/>
      <c r="B172" s="530" t="s">
        <v>411</v>
      </c>
      <c r="C172" s="530">
        <v>2008</v>
      </c>
      <c r="D172" s="533" t="s">
        <v>412</v>
      </c>
      <c r="E172" s="534" t="s">
        <v>51</v>
      </c>
      <c r="F172" s="530" t="s">
        <v>413</v>
      </c>
      <c r="G172" s="92" t="s">
        <v>261</v>
      </c>
      <c r="H172" s="517" t="s">
        <v>64</v>
      </c>
      <c r="I172" s="521">
        <v>97</v>
      </c>
      <c r="J172" s="521">
        <v>2360</v>
      </c>
      <c r="K172" s="95">
        <v>5.4596</v>
      </c>
      <c r="L172" s="96">
        <f>500000*K172</f>
        <v>2729800</v>
      </c>
      <c r="M172" s="97" t="s">
        <v>414</v>
      </c>
      <c r="N172" s="203"/>
    </row>
    <row r="173" spans="1:14" s="23" customFormat="1" ht="16.5" customHeight="1" x14ac:dyDescent="0.2">
      <c r="A173" s="552"/>
      <c r="B173" s="554"/>
      <c r="C173" s="554"/>
      <c r="D173" s="531"/>
      <c r="E173" s="531"/>
      <c r="F173" s="554"/>
      <c r="G173" s="92" t="s">
        <v>415</v>
      </c>
      <c r="H173" s="556"/>
      <c r="I173" s="523"/>
      <c r="J173" s="523"/>
      <c r="K173" s="95">
        <v>5.4682000000000004</v>
      </c>
      <c r="L173" s="96">
        <f>434190*K173</f>
        <v>2374237.7580000004</v>
      </c>
      <c r="M173" s="97" t="s">
        <v>416</v>
      </c>
      <c r="N173" s="203"/>
    </row>
    <row r="174" spans="1:14" s="23" customFormat="1" ht="19.5" customHeight="1" x14ac:dyDescent="0.2">
      <c r="A174" s="537"/>
      <c r="B174" s="539"/>
      <c r="C174" s="539"/>
      <c r="D174" s="539"/>
      <c r="E174" s="539"/>
      <c r="F174" s="539"/>
      <c r="G174" s="92" t="s">
        <v>440</v>
      </c>
      <c r="H174" s="329" t="s">
        <v>16</v>
      </c>
      <c r="I174" s="524"/>
      <c r="J174" s="524"/>
      <c r="K174" s="95">
        <v>5.5637999999999996</v>
      </c>
      <c r="L174" s="96">
        <f>65000*K174</f>
        <v>361647</v>
      </c>
      <c r="M174" s="97" t="s">
        <v>441</v>
      </c>
      <c r="N174" s="203"/>
    </row>
    <row r="175" spans="1:14" s="23" customFormat="1" ht="17.25" customHeight="1" x14ac:dyDescent="0.2">
      <c r="A175" s="527">
        <v>1617</v>
      </c>
      <c r="B175" s="530" t="s">
        <v>418</v>
      </c>
      <c r="C175" s="530">
        <v>2002</v>
      </c>
      <c r="D175" s="533" t="s">
        <v>419</v>
      </c>
      <c r="E175" s="534">
        <v>2018</v>
      </c>
      <c r="F175" s="530" t="s">
        <v>420</v>
      </c>
      <c r="G175" s="92" t="s">
        <v>421</v>
      </c>
      <c r="H175" s="517" t="s">
        <v>16</v>
      </c>
      <c r="I175" s="521">
        <v>98</v>
      </c>
      <c r="J175" s="521">
        <v>2361</v>
      </c>
      <c r="K175" s="95">
        <v>5.4714</v>
      </c>
      <c r="L175" s="96">
        <f>124725*K175</f>
        <v>682420.36499999999</v>
      </c>
      <c r="M175" s="97" t="s">
        <v>422</v>
      </c>
      <c r="N175" s="203"/>
    </row>
    <row r="176" spans="1:14" s="23" customFormat="1" ht="36" customHeight="1" x14ac:dyDescent="0.2">
      <c r="A176" s="553"/>
      <c r="B176" s="538"/>
      <c r="C176" s="538"/>
      <c r="D176" s="539"/>
      <c r="E176" s="539"/>
      <c r="F176" s="538"/>
      <c r="G176" s="92" t="s">
        <v>423</v>
      </c>
      <c r="H176" s="518"/>
      <c r="I176" s="522"/>
      <c r="J176" s="522"/>
      <c r="K176" s="95">
        <v>5.5396000000000001</v>
      </c>
      <c r="L176" s="96">
        <f>41800*K176</f>
        <v>231555.28</v>
      </c>
      <c r="M176" s="97" t="s">
        <v>422</v>
      </c>
      <c r="N176" s="203"/>
    </row>
    <row r="177" spans="1:14" s="23" customFormat="1" ht="51" customHeight="1" x14ac:dyDescent="0.2">
      <c r="A177" s="310">
        <v>1618</v>
      </c>
      <c r="B177" s="501" t="s">
        <v>424</v>
      </c>
      <c r="C177" s="311">
        <v>2004</v>
      </c>
      <c r="D177" s="89" t="s">
        <v>425</v>
      </c>
      <c r="E177" s="312">
        <v>2018</v>
      </c>
      <c r="F177" s="311" t="s">
        <v>426</v>
      </c>
      <c r="G177" s="92" t="s">
        <v>427</v>
      </c>
      <c r="H177" s="100" t="s">
        <v>16</v>
      </c>
      <c r="I177" s="314">
        <v>99</v>
      </c>
      <c r="J177" s="314">
        <v>2362</v>
      </c>
      <c r="K177" s="95">
        <v>319.36</v>
      </c>
      <c r="L177" s="96">
        <f>9200*K177</f>
        <v>2938112</v>
      </c>
      <c r="M177" s="97" t="s">
        <v>422</v>
      </c>
      <c r="N177" s="203"/>
    </row>
    <row r="178" spans="1:14" s="23" customFormat="1" ht="40.5" customHeight="1" x14ac:dyDescent="0.2">
      <c r="A178" s="230">
        <v>1619</v>
      </c>
      <c r="B178" s="501" t="s">
        <v>430</v>
      </c>
      <c r="C178" s="231">
        <v>2012</v>
      </c>
      <c r="D178" s="89" t="s">
        <v>105</v>
      </c>
      <c r="E178" s="229">
        <v>2018</v>
      </c>
      <c r="F178" s="88" t="s">
        <v>106</v>
      </c>
      <c r="G178" s="92" t="s">
        <v>431</v>
      </c>
      <c r="H178" s="100" t="s">
        <v>16</v>
      </c>
      <c r="I178" s="232">
        <v>100</v>
      </c>
      <c r="J178" s="232">
        <v>2363</v>
      </c>
      <c r="K178" s="95">
        <v>5.4794999999999998</v>
      </c>
      <c r="L178" s="96">
        <f>123600.42*K178</f>
        <v>677268.50138999999</v>
      </c>
      <c r="M178" s="97" t="s">
        <v>429</v>
      </c>
      <c r="N178" s="203"/>
    </row>
    <row r="179" spans="1:14" s="23" customFormat="1" ht="40.5" customHeight="1" x14ac:dyDescent="0.2">
      <c r="A179" s="230"/>
      <c r="B179" s="501" t="s">
        <v>432</v>
      </c>
      <c r="C179" s="231">
        <v>2015</v>
      </c>
      <c r="D179" s="89" t="s">
        <v>105</v>
      </c>
      <c r="E179" s="229" t="s">
        <v>55</v>
      </c>
      <c r="F179" s="88" t="s">
        <v>106</v>
      </c>
      <c r="G179" s="92" t="s">
        <v>433</v>
      </c>
      <c r="H179" s="100" t="s">
        <v>16</v>
      </c>
      <c r="I179" s="232">
        <v>101</v>
      </c>
      <c r="J179" s="232">
        <v>2364</v>
      </c>
      <c r="K179" s="95">
        <v>5.4802</v>
      </c>
      <c r="L179" s="96">
        <f>117201.83*K179</f>
        <v>642289.46876600001</v>
      </c>
      <c r="M179" s="97" t="s">
        <v>429</v>
      </c>
      <c r="N179" s="203"/>
    </row>
    <row r="180" spans="1:14" s="23" customFormat="1" ht="42" customHeight="1" x14ac:dyDescent="0.2">
      <c r="A180" s="230">
        <v>1620</v>
      </c>
      <c r="B180" s="501" t="s">
        <v>434</v>
      </c>
      <c r="C180" s="231">
        <v>2002</v>
      </c>
      <c r="D180" s="89" t="s">
        <v>435</v>
      </c>
      <c r="E180" s="229">
        <v>2018</v>
      </c>
      <c r="F180" s="88" t="s">
        <v>106</v>
      </c>
      <c r="G180" s="92" t="s">
        <v>436</v>
      </c>
      <c r="H180" s="100" t="s">
        <v>16</v>
      </c>
      <c r="I180" s="232">
        <v>102</v>
      </c>
      <c r="J180" s="232">
        <v>2365</v>
      </c>
      <c r="K180" s="95">
        <v>5.4810999999999996</v>
      </c>
      <c r="L180" s="96">
        <f>117780.41*K180</f>
        <v>645566.20525100001</v>
      </c>
      <c r="M180" s="97" t="s">
        <v>429</v>
      </c>
      <c r="N180" s="203"/>
    </row>
    <row r="181" spans="1:14" s="23" customFormat="1" ht="63.75" customHeight="1" x14ac:dyDescent="0.2">
      <c r="A181" s="223"/>
      <c r="B181" s="501" t="s">
        <v>226</v>
      </c>
      <c r="C181" s="224">
        <v>2004</v>
      </c>
      <c r="D181" s="227" t="s">
        <v>227</v>
      </c>
      <c r="E181" s="225" t="s">
        <v>47</v>
      </c>
      <c r="F181" s="224" t="s">
        <v>228</v>
      </c>
      <c r="G181" s="92" t="s">
        <v>442</v>
      </c>
      <c r="H181" s="100" t="s">
        <v>16</v>
      </c>
      <c r="I181" s="226"/>
      <c r="J181" s="226"/>
      <c r="K181" s="95">
        <v>5.5628000000000002</v>
      </c>
      <c r="L181" s="96">
        <f>41000*K181</f>
        <v>228074.80000000002</v>
      </c>
      <c r="M181" s="97" t="s">
        <v>441</v>
      </c>
      <c r="N181" s="203"/>
    </row>
    <row r="182" spans="1:14" s="23" customFormat="1" ht="42" customHeight="1" x14ac:dyDescent="0.2">
      <c r="A182" s="316">
        <v>1621</v>
      </c>
      <c r="B182" s="501" t="s">
        <v>444</v>
      </c>
      <c r="C182" s="317">
        <v>2001</v>
      </c>
      <c r="D182" s="89" t="s">
        <v>445</v>
      </c>
      <c r="E182" s="318" t="s">
        <v>447</v>
      </c>
      <c r="F182" s="317" t="s">
        <v>225</v>
      </c>
      <c r="G182" s="92" t="s">
        <v>98</v>
      </c>
      <c r="H182" s="100" t="s">
        <v>16</v>
      </c>
      <c r="I182" s="315"/>
      <c r="J182" s="315"/>
      <c r="K182" s="95">
        <v>5.6401000000000003</v>
      </c>
      <c r="L182" s="96">
        <f>44990*K182</f>
        <v>253748.09900000002</v>
      </c>
      <c r="M182" s="97" t="s">
        <v>446</v>
      </c>
      <c r="N182" s="203"/>
    </row>
    <row r="183" spans="1:14" s="23" customFormat="1" ht="37.5" customHeight="1" x14ac:dyDescent="0.2">
      <c r="A183" s="293"/>
      <c r="B183" s="501" t="s">
        <v>56</v>
      </c>
      <c r="C183" s="292">
        <v>2013</v>
      </c>
      <c r="D183" s="294" t="s">
        <v>59</v>
      </c>
      <c r="E183" s="295" t="s">
        <v>447</v>
      </c>
      <c r="F183" s="292" t="s">
        <v>225</v>
      </c>
      <c r="G183" s="92" t="s">
        <v>98</v>
      </c>
      <c r="H183" s="100" t="s">
        <v>16</v>
      </c>
      <c r="I183" s="296"/>
      <c r="J183" s="296"/>
      <c r="K183" s="95">
        <v>5.6383000000000001</v>
      </c>
      <c r="L183" s="96">
        <f>44990*K183</f>
        <v>253667.117</v>
      </c>
      <c r="M183" s="97" t="s">
        <v>446</v>
      </c>
      <c r="N183" s="203"/>
    </row>
    <row r="184" spans="1:14" s="23" customFormat="1" ht="38.25" customHeight="1" x14ac:dyDescent="0.2">
      <c r="A184" s="316">
        <v>1622</v>
      </c>
      <c r="B184" s="501" t="s">
        <v>448</v>
      </c>
      <c r="C184" s="317">
        <v>2006</v>
      </c>
      <c r="D184" s="89" t="s">
        <v>449</v>
      </c>
      <c r="E184" s="318" t="s">
        <v>447</v>
      </c>
      <c r="F184" s="317" t="s">
        <v>225</v>
      </c>
      <c r="G184" s="92" t="s">
        <v>98</v>
      </c>
      <c r="H184" s="100" t="s">
        <v>16</v>
      </c>
      <c r="I184" s="315"/>
      <c r="J184" s="315"/>
      <c r="K184" s="95">
        <v>5.6369999999999996</v>
      </c>
      <c r="L184" s="96">
        <f>44990*K184</f>
        <v>253608.62999999998</v>
      </c>
      <c r="M184" s="97" t="s">
        <v>446</v>
      </c>
      <c r="N184" s="203"/>
    </row>
    <row r="185" spans="1:14" s="23" customFormat="1" ht="39" customHeight="1" x14ac:dyDescent="0.2">
      <c r="A185" s="305"/>
      <c r="B185" s="501" t="s">
        <v>450</v>
      </c>
      <c r="C185" s="306">
        <v>2010</v>
      </c>
      <c r="D185" s="309" t="s">
        <v>353</v>
      </c>
      <c r="E185" s="307" t="s">
        <v>204</v>
      </c>
      <c r="F185" s="306" t="s">
        <v>451</v>
      </c>
      <c r="G185" s="92" t="s">
        <v>452</v>
      </c>
      <c r="H185" s="100" t="s">
        <v>256</v>
      </c>
      <c r="I185" s="308">
        <v>103</v>
      </c>
      <c r="J185" s="308">
        <v>2366</v>
      </c>
      <c r="K185" s="95">
        <v>5.6387</v>
      </c>
      <c r="L185" s="96">
        <f>9000*K185</f>
        <v>50748.3</v>
      </c>
      <c r="M185" s="97" t="s">
        <v>453</v>
      </c>
      <c r="N185" s="203"/>
    </row>
    <row r="186" spans="1:14" s="23" customFormat="1" ht="28.5" customHeight="1" x14ac:dyDescent="0.2">
      <c r="A186" s="466">
        <v>1623</v>
      </c>
      <c r="B186" s="501" t="s">
        <v>783</v>
      </c>
      <c r="C186" s="464">
        <v>2006</v>
      </c>
      <c r="D186" s="204" t="s">
        <v>784</v>
      </c>
      <c r="E186" s="465">
        <v>2018</v>
      </c>
      <c r="F186" s="464" t="s">
        <v>38</v>
      </c>
      <c r="G186" s="92" t="s">
        <v>609</v>
      </c>
      <c r="H186" s="467" t="s">
        <v>16</v>
      </c>
      <c r="I186" s="468">
        <v>104</v>
      </c>
      <c r="J186" s="468">
        <v>2367</v>
      </c>
      <c r="K186" s="95">
        <v>343.11</v>
      </c>
      <c r="L186" s="96">
        <f>1000*K186</f>
        <v>343110</v>
      </c>
      <c r="M186" s="97" t="s">
        <v>785</v>
      </c>
      <c r="N186" s="203"/>
    </row>
    <row r="187" spans="1:14" s="23" customFormat="1" ht="29.25" customHeight="1" x14ac:dyDescent="0.2">
      <c r="A187" s="487"/>
      <c r="B187" s="501" t="s">
        <v>454</v>
      </c>
      <c r="C187" s="485">
        <v>2015</v>
      </c>
      <c r="D187" s="489" t="s">
        <v>455</v>
      </c>
      <c r="E187" s="486" t="s">
        <v>55</v>
      </c>
      <c r="F187" s="485" t="s">
        <v>456</v>
      </c>
      <c r="G187" s="92" t="s">
        <v>457</v>
      </c>
      <c r="H187" s="488" t="s">
        <v>331</v>
      </c>
      <c r="I187" s="482">
        <v>105</v>
      </c>
      <c r="J187" s="482">
        <v>2368</v>
      </c>
      <c r="K187" s="95">
        <v>342.47</v>
      </c>
      <c r="L187" s="96">
        <f>1285.92*K187</f>
        <v>440389.02240000007</v>
      </c>
      <c r="M187" s="97" t="s">
        <v>458</v>
      </c>
      <c r="N187" s="203"/>
    </row>
    <row r="188" spans="1:14" s="23" customFormat="1" ht="21" customHeight="1" x14ac:dyDescent="0.2">
      <c r="A188" s="527">
        <v>1624</v>
      </c>
      <c r="B188" s="530" t="s">
        <v>459</v>
      </c>
      <c r="C188" s="530">
        <v>2003</v>
      </c>
      <c r="D188" s="533" t="s">
        <v>460</v>
      </c>
      <c r="E188" s="534">
        <v>2018</v>
      </c>
      <c r="F188" s="530" t="s">
        <v>38</v>
      </c>
      <c r="G188" s="92" t="s">
        <v>461</v>
      </c>
      <c r="H188" s="517" t="s">
        <v>470</v>
      </c>
      <c r="I188" s="521">
        <v>106</v>
      </c>
      <c r="J188" s="521">
        <v>2369</v>
      </c>
      <c r="K188" s="95">
        <v>342.47</v>
      </c>
      <c r="L188" s="96">
        <f>4000*K188</f>
        <v>1369880</v>
      </c>
      <c r="M188" s="97" t="s">
        <v>458</v>
      </c>
      <c r="N188" s="203"/>
    </row>
    <row r="189" spans="1:14" s="23" customFormat="1" ht="18.75" customHeight="1" x14ac:dyDescent="0.2">
      <c r="A189" s="528"/>
      <c r="B189" s="531"/>
      <c r="C189" s="531"/>
      <c r="D189" s="531"/>
      <c r="E189" s="531"/>
      <c r="F189" s="531"/>
      <c r="G189" s="92" t="s">
        <v>10</v>
      </c>
      <c r="H189" s="518"/>
      <c r="I189" s="525"/>
      <c r="J189" s="525"/>
      <c r="K189" s="95">
        <v>345.68</v>
      </c>
      <c r="L189" s="96">
        <f>9000*K189</f>
        <v>3111120</v>
      </c>
      <c r="M189" s="97" t="s">
        <v>477</v>
      </c>
      <c r="N189" s="203"/>
    </row>
    <row r="190" spans="1:14" s="23" customFormat="1" ht="27" customHeight="1" x14ac:dyDescent="0.2">
      <c r="A190" s="528"/>
      <c r="B190" s="531"/>
      <c r="C190" s="531"/>
      <c r="D190" s="531"/>
      <c r="E190" s="531"/>
      <c r="F190" s="531"/>
      <c r="G190" s="92" t="s">
        <v>10</v>
      </c>
      <c r="H190" s="304" t="s">
        <v>497</v>
      </c>
      <c r="I190" s="525"/>
      <c r="J190" s="525"/>
      <c r="K190" s="95">
        <v>344.64</v>
      </c>
      <c r="L190" s="96">
        <f>9000*K190</f>
        <v>3101760</v>
      </c>
      <c r="M190" s="97" t="s">
        <v>484</v>
      </c>
      <c r="N190" s="203"/>
    </row>
    <row r="191" spans="1:14" s="23" customFormat="1" ht="35.25" customHeight="1" x14ac:dyDescent="0.2">
      <c r="A191" s="537"/>
      <c r="B191" s="539"/>
      <c r="C191" s="539"/>
      <c r="D191" s="539"/>
      <c r="E191" s="539"/>
      <c r="F191" s="539"/>
      <c r="G191" s="92" t="s">
        <v>116</v>
      </c>
      <c r="H191" s="304" t="s">
        <v>16</v>
      </c>
      <c r="I191" s="524"/>
      <c r="J191" s="524"/>
      <c r="K191" s="95">
        <v>342.47</v>
      </c>
      <c r="L191" s="96">
        <f>2000*K191</f>
        <v>684940</v>
      </c>
      <c r="M191" s="97" t="s">
        <v>510</v>
      </c>
      <c r="N191" s="203"/>
    </row>
    <row r="192" spans="1:14" s="23" customFormat="1" ht="39.75" customHeight="1" x14ac:dyDescent="0.2">
      <c r="A192" s="527"/>
      <c r="B192" s="530" t="s">
        <v>134</v>
      </c>
      <c r="C192" s="530">
        <v>2017</v>
      </c>
      <c r="D192" s="533" t="s">
        <v>135</v>
      </c>
      <c r="E192" s="534" t="s">
        <v>47</v>
      </c>
      <c r="F192" s="530" t="s">
        <v>154</v>
      </c>
      <c r="G192" s="92" t="s">
        <v>10</v>
      </c>
      <c r="H192" s="100" t="s">
        <v>469</v>
      </c>
      <c r="I192" s="521"/>
      <c r="J192" s="521"/>
      <c r="K192" s="95">
        <v>342.47</v>
      </c>
      <c r="L192" s="96">
        <f>9000*K192</f>
        <v>3082230.0000000005</v>
      </c>
      <c r="M192" s="97" t="s">
        <v>458</v>
      </c>
      <c r="N192" s="203"/>
    </row>
    <row r="193" spans="1:14" s="23" customFormat="1" ht="27" customHeight="1" x14ac:dyDescent="0.2">
      <c r="A193" s="537"/>
      <c r="B193" s="539"/>
      <c r="C193" s="539"/>
      <c r="D193" s="557"/>
      <c r="E193" s="539"/>
      <c r="F193" s="539"/>
      <c r="G193" s="92" t="s">
        <v>485</v>
      </c>
      <c r="H193" s="337" t="s">
        <v>183</v>
      </c>
      <c r="I193" s="524"/>
      <c r="J193" s="524"/>
      <c r="K193" s="95">
        <v>344.64</v>
      </c>
      <c r="L193" s="96">
        <f>8000*K193</f>
        <v>2757120</v>
      </c>
      <c r="M193" s="97" t="s">
        <v>484</v>
      </c>
      <c r="N193" s="203"/>
    </row>
    <row r="194" spans="1:14" s="23" customFormat="1" ht="54" customHeight="1" x14ac:dyDescent="0.2">
      <c r="A194" s="233"/>
      <c r="B194" s="501" t="s">
        <v>462</v>
      </c>
      <c r="C194" s="234">
        <v>2013</v>
      </c>
      <c r="D194" s="89" t="s">
        <v>466</v>
      </c>
      <c r="E194" s="235" t="s">
        <v>123</v>
      </c>
      <c r="F194" s="234" t="s">
        <v>151</v>
      </c>
      <c r="G194" s="92" t="s">
        <v>463</v>
      </c>
      <c r="H194" s="236" t="s">
        <v>16</v>
      </c>
      <c r="I194" s="237">
        <v>107</v>
      </c>
      <c r="J194" s="237">
        <v>2370</v>
      </c>
      <c r="K194" s="95">
        <v>5.5224000000000002</v>
      </c>
      <c r="L194" s="96">
        <f>160655*K194</f>
        <v>887201.17200000002</v>
      </c>
      <c r="M194" s="97" t="s">
        <v>464</v>
      </c>
      <c r="N194" s="203"/>
    </row>
    <row r="195" spans="1:14" s="23" customFormat="1" ht="18.75" customHeight="1" x14ac:dyDescent="0.2">
      <c r="A195" s="527">
        <v>1625</v>
      </c>
      <c r="B195" s="530" t="s">
        <v>465</v>
      </c>
      <c r="C195" s="530">
        <v>2014</v>
      </c>
      <c r="D195" s="533" t="s">
        <v>467</v>
      </c>
      <c r="E195" s="534">
        <v>2018</v>
      </c>
      <c r="F195" s="530" t="s">
        <v>151</v>
      </c>
      <c r="G195" s="92" t="s">
        <v>468</v>
      </c>
      <c r="H195" s="517" t="s">
        <v>16</v>
      </c>
      <c r="I195" s="521">
        <v>108</v>
      </c>
      <c r="J195" s="521">
        <v>2371</v>
      </c>
      <c r="K195" s="95">
        <v>5.5335999999999999</v>
      </c>
      <c r="L195" s="96">
        <f>191135*K195</f>
        <v>1057664.6359999999</v>
      </c>
      <c r="M195" s="97" t="s">
        <v>464</v>
      </c>
      <c r="N195" s="203"/>
    </row>
    <row r="196" spans="1:14" s="23" customFormat="1" ht="33.75" customHeight="1" x14ac:dyDescent="0.2">
      <c r="A196" s="529"/>
      <c r="B196" s="532"/>
      <c r="C196" s="532"/>
      <c r="D196" s="557"/>
      <c r="E196" s="532"/>
      <c r="F196" s="532"/>
      <c r="G196" s="92" t="s">
        <v>495</v>
      </c>
      <c r="H196" s="548"/>
      <c r="I196" s="550"/>
      <c r="J196" s="550"/>
      <c r="K196" s="95">
        <v>5.3</v>
      </c>
      <c r="L196" s="96">
        <f>149335*K196</f>
        <v>791475.5</v>
      </c>
      <c r="M196" s="97" t="s">
        <v>496</v>
      </c>
      <c r="N196" s="203"/>
    </row>
    <row r="197" spans="1:14" s="23" customFormat="1" ht="64.5" customHeight="1" x14ac:dyDescent="0.2">
      <c r="A197" s="239"/>
      <c r="B197" s="504" t="s">
        <v>475</v>
      </c>
      <c r="C197" s="240">
        <v>2010</v>
      </c>
      <c r="D197" s="113" t="s">
        <v>353</v>
      </c>
      <c r="E197" s="241" t="s">
        <v>123</v>
      </c>
      <c r="F197" s="240" t="s">
        <v>476</v>
      </c>
      <c r="G197" s="81" t="s">
        <v>494</v>
      </c>
      <c r="H197" s="238" t="s">
        <v>16</v>
      </c>
      <c r="I197" s="242">
        <v>109</v>
      </c>
      <c r="J197" s="242">
        <v>2372</v>
      </c>
      <c r="K197" s="82">
        <v>345.68</v>
      </c>
      <c r="L197" s="83">
        <f>1450*K197</f>
        <v>501236</v>
      </c>
      <c r="M197" s="65" t="s">
        <v>477</v>
      </c>
      <c r="N197" s="203"/>
    </row>
    <row r="198" spans="1:14" s="23" customFormat="1" ht="63.75" customHeight="1" x14ac:dyDescent="0.2">
      <c r="A198" s="353">
        <v>1626</v>
      </c>
      <c r="B198" s="501" t="s">
        <v>478</v>
      </c>
      <c r="C198" s="354">
        <v>2013</v>
      </c>
      <c r="D198" s="89" t="s">
        <v>479</v>
      </c>
      <c r="E198" s="355">
        <v>2018</v>
      </c>
      <c r="F198" s="354" t="s">
        <v>480</v>
      </c>
      <c r="G198" s="92" t="s">
        <v>665</v>
      </c>
      <c r="H198" s="357" t="s">
        <v>16</v>
      </c>
      <c r="I198" s="356">
        <v>110</v>
      </c>
      <c r="J198" s="356">
        <v>2373</v>
      </c>
      <c r="K198" s="95">
        <v>5.48</v>
      </c>
      <c r="L198" s="96">
        <f>223750*K198</f>
        <v>1226150</v>
      </c>
      <c r="M198" s="97" t="s">
        <v>477</v>
      </c>
      <c r="N198" s="203"/>
    </row>
    <row r="199" spans="1:14" s="23" customFormat="1" ht="20.25" customHeight="1" x14ac:dyDescent="0.2">
      <c r="A199" s="527"/>
      <c r="B199" s="530" t="s">
        <v>481</v>
      </c>
      <c r="C199" s="530">
        <v>2008</v>
      </c>
      <c r="D199" s="533" t="s">
        <v>482</v>
      </c>
      <c r="E199" s="534" t="s">
        <v>269</v>
      </c>
      <c r="F199" s="530" t="s">
        <v>335</v>
      </c>
      <c r="G199" s="92" t="s">
        <v>483</v>
      </c>
      <c r="H199" s="517" t="s">
        <v>16</v>
      </c>
      <c r="I199" s="521">
        <v>111</v>
      </c>
      <c r="J199" s="521">
        <v>2374</v>
      </c>
      <c r="K199" s="95">
        <v>404.45</v>
      </c>
      <c r="L199" s="96">
        <f>7000*K199</f>
        <v>2831150</v>
      </c>
      <c r="M199" s="97" t="s">
        <v>477</v>
      </c>
      <c r="N199" s="203"/>
    </row>
    <row r="200" spans="1:14" s="23" customFormat="1" ht="33" customHeight="1" x14ac:dyDescent="0.2">
      <c r="A200" s="553"/>
      <c r="B200" s="538"/>
      <c r="C200" s="538"/>
      <c r="D200" s="557"/>
      <c r="E200" s="539"/>
      <c r="F200" s="538"/>
      <c r="G200" s="92" t="s">
        <v>486</v>
      </c>
      <c r="H200" s="556"/>
      <c r="I200" s="522"/>
      <c r="J200" s="522"/>
      <c r="K200" s="95">
        <v>402.95</v>
      </c>
      <c r="L200" s="96">
        <f>2994.53*K200</f>
        <v>1206645.8635</v>
      </c>
      <c r="M200" s="97" t="s">
        <v>484</v>
      </c>
      <c r="N200" s="203"/>
    </row>
    <row r="201" spans="1:14" s="23" customFormat="1" ht="28.5" customHeight="1" x14ac:dyDescent="0.2">
      <c r="A201" s="299"/>
      <c r="B201" s="501" t="s">
        <v>338</v>
      </c>
      <c r="C201" s="300">
        <v>2011</v>
      </c>
      <c r="D201" s="89" t="s">
        <v>339</v>
      </c>
      <c r="E201" s="302" t="s">
        <v>47</v>
      </c>
      <c r="F201" s="300" t="s">
        <v>38</v>
      </c>
      <c r="G201" s="92" t="s">
        <v>10</v>
      </c>
      <c r="H201" s="303" t="s">
        <v>16</v>
      </c>
      <c r="I201" s="297"/>
      <c r="J201" s="297"/>
      <c r="K201" s="95">
        <v>345.68</v>
      </c>
      <c r="L201" s="96">
        <f>9000*K201</f>
        <v>3111120</v>
      </c>
      <c r="M201" s="97" t="s">
        <v>477</v>
      </c>
      <c r="N201" s="203"/>
    </row>
    <row r="202" spans="1:14" s="23" customFormat="1" ht="80.25" customHeight="1" x14ac:dyDescent="0.2">
      <c r="A202" s="244">
        <v>1627</v>
      </c>
      <c r="B202" s="501" t="s">
        <v>487</v>
      </c>
      <c r="C202" s="245">
        <v>2010</v>
      </c>
      <c r="D202" s="89" t="s">
        <v>488</v>
      </c>
      <c r="E202" s="243">
        <v>2018</v>
      </c>
      <c r="F202" s="245" t="s">
        <v>480</v>
      </c>
      <c r="G202" s="92" t="s">
        <v>489</v>
      </c>
      <c r="H202" s="267" t="s">
        <v>543</v>
      </c>
      <c r="I202" s="246">
        <v>112</v>
      </c>
      <c r="J202" s="246">
        <v>2375</v>
      </c>
      <c r="K202" s="95">
        <v>5.49</v>
      </c>
      <c r="L202" s="96">
        <f>190215*K202</f>
        <v>1044280.3500000001</v>
      </c>
      <c r="M202" s="97" t="s">
        <v>484</v>
      </c>
      <c r="N202" s="203"/>
    </row>
    <row r="203" spans="1:14" s="23" customFormat="1" ht="15.75" customHeight="1" x14ac:dyDescent="0.2">
      <c r="A203" s="527">
        <v>1628</v>
      </c>
      <c r="B203" s="530" t="s">
        <v>490</v>
      </c>
      <c r="C203" s="530">
        <v>2008</v>
      </c>
      <c r="D203" s="533" t="s">
        <v>491</v>
      </c>
      <c r="E203" s="534">
        <v>2018</v>
      </c>
      <c r="F203" s="530" t="s">
        <v>492</v>
      </c>
      <c r="G203" s="92" t="s">
        <v>483</v>
      </c>
      <c r="H203" s="517" t="s">
        <v>64</v>
      </c>
      <c r="I203" s="521">
        <v>113</v>
      </c>
      <c r="J203" s="521">
        <v>2376</v>
      </c>
      <c r="K203" s="95">
        <v>408.93</v>
      </c>
      <c r="L203" s="96">
        <f>7000*K203</f>
        <v>2862510</v>
      </c>
      <c r="M203" s="97" t="s">
        <v>493</v>
      </c>
      <c r="N203" s="203"/>
    </row>
    <row r="204" spans="1:14" s="23" customFormat="1" ht="24" customHeight="1" x14ac:dyDescent="0.2">
      <c r="A204" s="537"/>
      <c r="B204" s="539"/>
      <c r="C204" s="539"/>
      <c r="D204" s="557"/>
      <c r="E204" s="539"/>
      <c r="F204" s="539"/>
      <c r="G204" s="92" t="s">
        <v>509</v>
      </c>
      <c r="H204" s="518"/>
      <c r="I204" s="524"/>
      <c r="J204" s="524"/>
      <c r="K204" s="95">
        <v>408.93</v>
      </c>
      <c r="L204" s="96">
        <f>5050.67*K204</f>
        <v>2065370.4831000001</v>
      </c>
      <c r="M204" s="97" t="s">
        <v>510</v>
      </c>
      <c r="N204" s="203"/>
    </row>
    <row r="205" spans="1:14" s="23" customFormat="1" ht="16.5" customHeight="1" x14ac:dyDescent="0.2">
      <c r="A205" s="527"/>
      <c r="B205" s="530" t="s">
        <v>257</v>
      </c>
      <c r="C205" s="530">
        <v>2014</v>
      </c>
      <c r="D205" s="533" t="s">
        <v>249</v>
      </c>
      <c r="E205" s="534" t="s">
        <v>55</v>
      </c>
      <c r="F205" s="530" t="s">
        <v>38</v>
      </c>
      <c r="G205" s="515" t="s">
        <v>570</v>
      </c>
      <c r="H205" s="517" t="s">
        <v>183</v>
      </c>
      <c r="I205" s="521">
        <v>114</v>
      </c>
      <c r="J205" s="521">
        <v>2377</v>
      </c>
      <c r="K205" s="508">
        <v>342.47</v>
      </c>
      <c r="L205" s="511">
        <f>700*K205</f>
        <v>239729.00000000003</v>
      </c>
      <c r="M205" s="512" t="s">
        <v>493</v>
      </c>
      <c r="N205" s="203"/>
    </row>
    <row r="206" spans="1:14" s="23" customFormat="1" ht="15.75" customHeight="1" x14ac:dyDescent="0.2">
      <c r="A206" s="552"/>
      <c r="B206" s="554"/>
      <c r="C206" s="554"/>
      <c r="D206" s="558"/>
      <c r="E206" s="531"/>
      <c r="F206" s="554"/>
      <c r="G206" s="560"/>
      <c r="H206" s="551"/>
      <c r="I206" s="523"/>
      <c r="J206" s="523"/>
      <c r="K206" s="509"/>
      <c r="L206" s="509"/>
      <c r="M206" s="513"/>
      <c r="N206" s="203"/>
    </row>
    <row r="207" spans="1:14" s="23" customFormat="1" ht="6.75" customHeight="1" x14ac:dyDescent="0.2">
      <c r="A207" s="553"/>
      <c r="B207" s="538"/>
      <c r="C207" s="538"/>
      <c r="D207" s="557"/>
      <c r="E207" s="539"/>
      <c r="F207" s="538"/>
      <c r="G207" s="561"/>
      <c r="H207" s="556"/>
      <c r="I207" s="522"/>
      <c r="J207" s="522"/>
      <c r="K207" s="510"/>
      <c r="L207" s="510"/>
      <c r="M207" s="514"/>
      <c r="N207" s="203"/>
    </row>
    <row r="208" spans="1:14" s="23" customFormat="1" ht="41.25" customHeight="1" x14ac:dyDescent="0.2">
      <c r="A208" s="248"/>
      <c r="B208" s="501" t="s">
        <v>108</v>
      </c>
      <c r="C208" s="249">
        <v>2016</v>
      </c>
      <c r="D208" s="89" t="s">
        <v>105</v>
      </c>
      <c r="E208" s="250" t="s">
        <v>51</v>
      </c>
      <c r="F208" s="249" t="s">
        <v>106</v>
      </c>
      <c r="G208" s="92" t="s">
        <v>498</v>
      </c>
      <c r="H208" s="251" t="s">
        <v>16</v>
      </c>
      <c r="I208" s="252">
        <v>115</v>
      </c>
      <c r="J208" s="252">
        <v>2378</v>
      </c>
      <c r="K208" s="95">
        <v>5.6418999999999997</v>
      </c>
      <c r="L208" s="96">
        <f>112246.75*K208</f>
        <v>633284.93882499996</v>
      </c>
      <c r="M208" s="97" t="s">
        <v>493</v>
      </c>
      <c r="N208" s="203"/>
    </row>
    <row r="209" spans="1:14" s="23" customFormat="1" ht="39" customHeight="1" x14ac:dyDescent="0.2">
      <c r="A209" s="248">
        <v>1629</v>
      </c>
      <c r="B209" s="501" t="s">
        <v>499</v>
      </c>
      <c r="C209" s="249">
        <v>2016</v>
      </c>
      <c r="D209" s="260" t="s">
        <v>500</v>
      </c>
      <c r="E209" s="250">
        <v>2018</v>
      </c>
      <c r="F209" s="249" t="s">
        <v>106</v>
      </c>
      <c r="G209" s="92" t="s">
        <v>501</v>
      </c>
      <c r="H209" s="251" t="s">
        <v>16</v>
      </c>
      <c r="I209" s="252">
        <v>116</v>
      </c>
      <c r="J209" s="252">
        <v>2379</v>
      </c>
      <c r="K209" s="95">
        <v>5.6418999999999997</v>
      </c>
      <c r="L209" s="96">
        <f>106491.83*K209</f>
        <v>600816.25567699992</v>
      </c>
      <c r="M209" s="97" t="s">
        <v>493</v>
      </c>
      <c r="N209" s="203"/>
    </row>
    <row r="210" spans="1:14" s="23" customFormat="1" ht="39.75" customHeight="1" x14ac:dyDescent="0.2">
      <c r="A210" s="248"/>
      <c r="B210" s="501" t="s">
        <v>275</v>
      </c>
      <c r="C210" s="249">
        <v>2012</v>
      </c>
      <c r="D210" s="259" t="s">
        <v>105</v>
      </c>
      <c r="E210" s="250" t="s">
        <v>55</v>
      </c>
      <c r="F210" s="249" t="s">
        <v>106</v>
      </c>
      <c r="G210" s="92" t="s">
        <v>502</v>
      </c>
      <c r="H210" s="251" t="s">
        <v>16</v>
      </c>
      <c r="I210" s="252">
        <v>117</v>
      </c>
      <c r="J210" s="252">
        <v>2380</v>
      </c>
      <c r="K210" s="95">
        <v>5.6418999999999997</v>
      </c>
      <c r="L210" s="96">
        <f>118534.83*K210</f>
        <v>668761.65737699997</v>
      </c>
      <c r="M210" s="97" t="s">
        <v>493</v>
      </c>
      <c r="N210" s="203"/>
    </row>
    <row r="211" spans="1:14" s="23" customFormat="1" ht="37.5" customHeight="1" x14ac:dyDescent="0.2">
      <c r="A211" s="248"/>
      <c r="B211" s="501" t="s">
        <v>316</v>
      </c>
      <c r="C211" s="249">
        <v>2017</v>
      </c>
      <c r="D211" s="259" t="s">
        <v>105</v>
      </c>
      <c r="E211" s="250" t="s">
        <v>51</v>
      </c>
      <c r="F211" s="249" t="s">
        <v>106</v>
      </c>
      <c r="G211" s="92" t="s">
        <v>433</v>
      </c>
      <c r="H211" s="251" t="s">
        <v>16</v>
      </c>
      <c r="I211" s="252">
        <v>118</v>
      </c>
      <c r="J211" s="252">
        <v>2381</v>
      </c>
      <c r="K211" s="95">
        <v>5.6413000000000002</v>
      </c>
      <c r="L211" s="96">
        <f>117201.83*K211</f>
        <v>661170.68357900006</v>
      </c>
      <c r="M211" s="97" t="s">
        <v>493</v>
      </c>
      <c r="N211" s="203"/>
    </row>
    <row r="212" spans="1:14" s="23" customFormat="1" ht="39" customHeight="1" x14ac:dyDescent="0.2">
      <c r="A212" s="248">
        <v>1630</v>
      </c>
      <c r="B212" s="501" t="s">
        <v>503</v>
      </c>
      <c r="C212" s="249">
        <v>2017</v>
      </c>
      <c r="D212" s="260" t="s">
        <v>500</v>
      </c>
      <c r="E212" s="250">
        <v>2018</v>
      </c>
      <c r="F212" s="249" t="s">
        <v>106</v>
      </c>
      <c r="G212" s="92" t="s">
        <v>504</v>
      </c>
      <c r="H212" s="266" t="s">
        <v>541</v>
      </c>
      <c r="I212" s="252">
        <v>119</v>
      </c>
      <c r="J212" s="252">
        <v>2382</v>
      </c>
      <c r="K212" s="95">
        <v>5.6418999999999997</v>
      </c>
      <c r="L212" s="96">
        <f>105274.83*K212</f>
        <v>593950.06337699993</v>
      </c>
      <c r="M212" s="97" t="s">
        <v>493</v>
      </c>
      <c r="N212" s="203"/>
    </row>
    <row r="213" spans="1:14" s="23" customFormat="1" ht="39" customHeight="1" x14ac:dyDescent="0.2">
      <c r="A213" s="248"/>
      <c r="B213" s="501" t="s">
        <v>320</v>
      </c>
      <c r="C213" s="249">
        <v>2018</v>
      </c>
      <c r="D213" s="259" t="s">
        <v>105</v>
      </c>
      <c r="E213" s="250" t="s">
        <v>55</v>
      </c>
      <c r="F213" s="249" t="s">
        <v>106</v>
      </c>
      <c r="G213" s="92" t="s">
        <v>505</v>
      </c>
      <c r="H213" s="251" t="s">
        <v>16</v>
      </c>
      <c r="I213" s="252">
        <v>120</v>
      </c>
      <c r="J213" s="252">
        <v>2383</v>
      </c>
      <c r="K213" s="95">
        <v>5.6414999999999997</v>
      </c>
      <c r="L213" s="96">
        <f>113387.41*K213</f>
        <v>639675.07351499994</v>
      </c>
      <c r="M213" s="97" t="s">
        <v>493</v>
      </c>
      <c r="N213" s="203"/>
    </row>
    <row r="214" spans="1:14" s="23" customFormat="1" ht="52.5" customHeight="1" x14ac:dyDescent="0.2">
      <c r="A214" s="248"/>
      <c r="B214" s="501" t="s">
        <v>506</v>
      </c>
      <c r="C214" s="249">
        <v>2014</v>
      </c>
      <c r="D214" s="259" t="s">
        <v>507</v>
      </c>
      <c r="E214" s="250" t="s">
        <v>269</v>
      </c>
      <c r="F214" s="249" t="s">
        <v>106</v>
      </c>
      <c r="G214" s="92" t="s">
        <v>508</v>
      </c>
      <c r="H214" s="266" t="s">
        <v>542</v>
      </c>
      <c r="I214" s="252">
        <v>121</v>
      </c>
      <c r="J214" s="252">
        <v>2384</v>
      </c>
      <c r="K214" s="95">
        <v>5.6418999999999997</v>
      </c>
      <c r="L214" s="96">
        <f>74619*K214</f>
        <v>420992.93609999999</v>
      </c>
      <c r="M214" s="97" t="s">
        <v>493</v>
      </c>
      <c r="N214" s="203"/>
    </row>
    <row r="215" spans="1:14" s="23" customFormat="1" ht="42.75" customHeight="1" x14ac:dyDescent="0.2">
      <c r="A215" s="248"/>
      <c r="B215" s="501" t="s">
        <v>202</v>
      </c>
      <c r="C215" s="249">
        <v>2017</v>
      </c>
      <c r="D215" s="259" t="s">
        <v>203</v>
      </c>
      <c r="E215" s="250" t="s">
        <v>71</v>
      </c>
      <c r="F215" s="249" t="s">
        <v>513</v>
      </c>
      <c r="G215" s="92" t="s">
        <v>515</v>
      </c>
      <c r="H215" s="251" t="s">
        <v>16</v>
      </c>
      <c r="I215" s="252">
        <v>122</v>
      </c>
      <c r="J215" s="252">
        <v>2385</v>
      </c>
      <c r="K215" s="95">
        <v>5.7140000000000004</v>
      </c>
      <c r="L215" s="96">
        <f>123530*K215</f>
        <v>705850.42</v>
      </c>
      <c r="M215" s="97" t="s">
        <v>493</v>
      </c>
      <c r="N215" s="203"/>
    </row>
    <row r="216" spans="1:14" s="23" customFormat="1" ht="40.5" customHeight="1" x14ac:dyDescent="0.2">
      <c r="A216" s="256">
        <v>1631</v>
      </c>
      <c r="B216" s="501" t="s">
        <v>511</v>
      </c>
      <c r="C216" s="254">
        <v>2017</v>
      </c>
      <c r="D216" s="89" t="s">
        <v>512</v>
      </c>
      <c r="E216" s="257">
        <v>2018</v>
      </c>
      <c r="F216" s="254" t="s">
        <v>513</v>
      </c>
      <c r="G216" s="92" t="s">
        <v>516</v>
      </c>
      <c r="H216" s="255" t="s">
        <v>16</v>
      </c>
      <c r="I216" s="258">
        <v>123</v>
      </c>
      <c r="J216" s="258">
        <v>2386</v>
      </c>
      <c r="K216" s="95">
        <v>5.6288999999999998</v>
      </c>
      <c r="L216" s="96">
        <f>32000*K216</f>
        <v>180124.79999999999</v>
      </c>
      <c r="M216" s="97" t="s">
        <v>514</v>
      </c>
      <c r="N216" s="203"/>
    </row>
    <row r="217" spans="1:14" s="23" customFormat="1" ht="31.5" customHeight="1" x14ac:dyDescent="0.2">
      <c r="A217" s="299"/>
      <c r="B217" s="501" t="s">
        <v>517</v>
      </c>
      <c r="C217" s="300">
        <v>2010</v>
      </c>
      <c r="D217" s="89" t="s">
        <v>353</v>
      </c>
      <c r="E217" s="302" t="s">
        <v>204</v>
      </c>
      <c r="F217" s="300" t="s">
        <v>518</v>
      </c>
      <c r="G217" s="92" t="s">
        <v>519</v>
      </c>
      <c r="H217" s="303" t="s">
        <v>16</v>
      </c>
      <c r="I217" s="297">
        <v>124</v>
      </c>
      <c r="J217" s="297">
        <v>2387</v>
      </c>
      <c r="K217" s="95">
        <v>415.46</v>
      </c>
      <c r="L217" s="96">
        <f>177*K217</f>
        <v>73536.42</v>
      </c>
      <c r="M217" s="97" t="s">
        <v>520</v>
      </c>
      <c r="N217" s="203"/>
    </row>
    <row r="218" spans="1:14" s="23" customFormat="1" ht="50.25" customHeight="1" x14ac:dyDescent="0.2">
      <c r="A218" s="299"/>
      <c r="B218" s="501" t="s">
        <v>521</v>
      </c>
      <c r="C218" s="300">
        <v>2006</v>
      </c>
      <c r="D218" s="89" t="s">
        <v>522</v>
      </c>
      <c r="E218" s="302" t="s">
        <v>71</v>
      </c>
      <c r="F218" s="300" t="s">
        <v>523</v>
      </c>
      <c r="G218" s="92" t="s">
        <v>524</v>
      </c>
      <c r="H218" s="303" t="s">
        <v>540</v>
      </c>
      <c r="I218" s="297">
        <v>125</v>
      </c>
      <c r="J218" s="297">
        <v>2388</v>
      </c>
      <c r="K218" s="95">
        <v>5.4204999999999997</v>
      </c>
      <c r="L218" s="96">
        <f>140325*K218</f>
        <v>760631.66249999998</v>
      </c>
      <c r="M218" s="97" t="s">
        <v>525</v>
      </c>
      <c r="N218" s="203"/>
    </row>
    <row r="219" spans="1:14" s="23" customFormat="1" ht="42" customHeight="1" x14ac:dyDescent="0.2">
      <c r="A219" s="299">
        <v>1632</v>
      </c>
      <c r="B219" s="501" t="s">
        <v>526</v>
      </c>
      <c r="C219" s="300">
        <v>2017</v>
      </c>
      <c r="D219" s="89" t="s">
        <v>467</v>
      </c>
      <c r="E219" s="302">
        <v>2018</v>
      </c>
      <c r="F219" s="300" t="s">
        <v>523</v>
      </c>
      <c r="G219" s="92" t="s">
        <v>527</v>
      </c>
      <c r="H219" s="303" t="s">
        <v>16</v>
      </c>
      <c r="I219" s="297">
        <v>126</v>
      </c>
      <c r="J219" s="297">
        <v>2389</v>
      </c>
      <c r="K219" s="95">
        <v>5.4181999999999997</v>
      </c>
      <c r="L219" s="96">
        <f>174665*K219</f>
        <v>946369.90299999993</v>
      </c>
      <c r="M219" s="97" t="s">
        <v>525</v>
      </c>
      <c r="N219" s="203"/>
    </row>
    <row r="220" spans="1:14" s="23" customFormat="1" ht="42" customHeight="1" x14ac:dyDescent="0.2">
      <c r="A220" s="325"/>
      <c r="B220" s="501" t="s">
        <v>528</v>
      </c>
      <c r="C220" s="326">
        <v>2003</v>
      </c>
      <c r="D220" s="259" t="s">
        <v>529</v>
      </c>
      <c r="E220" s="327" t="s">
        <v>313</v>
      </c>
      <c r="F220" s="425" t="s">
        <v>530</v>
      </c>
      <c r="G220" s="92" t="s">
        <v>622</v>
      </c>
      <c r="H220" s="328" t="s">
        <v>16</v>
      </c>
      <c r="I220" s="324">
        <v>127</v>
      </c>
      <c r="J220" s="324">
        <v>2390</v>
      </c>
      <c r="K220" s="95">
        <v>5.4494999999999996</v>
      </c>
      <c r="L220" s="96">
        <f>97160*K220</f>
        <v>529473.41999999993</v>
      </c>
      <c r="M220" s="97" t="s">
        <v>531</v>
      </c>
      <c r="N220" s="203"/>
    </row>
    <row r="221" spans="1:14" s="23" customFormat="1" ht="28.5" customHeight="1" x14ac:dyDescent="0.2">
      <c r="A221" s="487"/>
      <c r="B221" s="501" t="s">
        <v>454</v>
      </c>
      <c r="C221" s="485">
        <v>2015</v>
      </c>
      <c r="D221" s="259" t="s">
        <v>455</v>
      </c>
      <c r="E221" s="486" t="s">
        <v>47</v>
      </c>
      <c r="F221" s="485" t="s">
        <v>456</v>
      </c>
      <c r="G221" s="92" t="s">
        <v>532</v>
      </c>
      <c r="H221" s="488" t="s">
        <v>331</v>
      </c>
      <c r="I221" s="482"/>
      <c r="J221" s="482"/>
      <c r="K221" s="95">
        <v>342.47</v>
      </c>
      <c r="L221" s="96">
        <f>350*K221</f>
        <v>119864.50000000001</v>
      </c>
      <c r="M221" s="97" t="s">
        <v>533</v>
      </c>
      <c r="N221" s="203"/>
    </row>
    <row r="222" spans="1:14" s="23" customFormat="1" ht="17.25" customHeight="1" x14ac:dyDescent="0.2">
      <c r="A222" s="527"/>
      <c r="B222" s="530" t="s">
        <v>534</v>
      </c>
      <c r="C222" s="530">
        <v>2003</v>
      </c>
      <c r="D222" s="541" t="s">
        <v>353</v>
      </c>
      <c r="E222" s="534" t="s">
        <v>55</v>
      </c>
      <c r="F222" s="530" t="s">
        <v>535</v>
      </c>
      <c r="G222" s="92" t="s">
        <v>10</v>
      </c>
      <c r="H222" s="374" t="s">
        <v>183</v>
      </c>
      <c r="I222" s="521">
        <v>128</v>
      </c>
      <c r="J222" s="521">
        <v>2391</v>
      </c>
      <c r="K222" s="95">
        <v>342.47</v>
      </c>
      <c r="L222" s="96">
        <f>9000*K222</f>
        <v>3082230.0000000005</v>
      </c>
      <c r="M222" s="97" t="s">
        <v>533</v>
      </c>
      <c r="N222" s="203"/>
    </row>
    <row r="223" spans="1:14" s="23" customFormat="1" ht="17.25" customHeight="1" x14ac:dyDescent="0.2">
      <c r="A223" s="528"/>
      <c r="B223" s="531"/>
      <c r="C223" s="531"/>
      <c r="D223" s="559"/>
      <c r="E223" s="531"/>
      <c r="F223" s="531"/>
      <c r="G223" s="92" t="s">
        <v>10</v>
      </c>
      <c r="H223" s="517" t="s">
        <v>16</v>
      </c>
      <c r="I223" s="525"/>
      <c r="J223" s="525"/>
      <c r="K223" s="95">
        <v>342.47</v>
      </c>
      <c r="L223" s="96">
        <f>9000*K223</f>
        <v>3082230.0000000005</v>
      </c>
      <c r="M223" s="97" t="s">
        <v>572</v>
      </c>
      <c r="N223" s="203"/>
    </row>
    <row r="224" spans="1:14" s="23" customFormat="1" ht="15.75" customHeight="1" x14ac:dyDescent="0.2">
      <c r="A224" s="528"/>
      <c r="B224" s="531"/>
      <c r="C224" s="531"/>
      <c r="D224" s="555"/>
      <c r="E224" s="531"/>
      <c r="F224" s="531"/>
      <c r="G224" s="92" t="s">
        <v>10</v>
      </c>
      <c r="H224" s="535"/>
      <c r="I224" s="525"/>
      <c r="J224" s="525"/>
      <c r="K224" s="95">
        <v>342.47</v>
      </c>
      <c r="L224" s="96">
        <f>9000*K224</f>
        <v>3082230.0000000005</v>
      </c>
      <c r="M224" s="97" t="s">
        <v>579</v>
      </c>
      <c r="N224" s="203"/>
    </row>
    <row r="225" spans="1:14" s="23" customFormat="1" ht="15.75" customHeight="1" x14ac:dyDescent="0.2">
      <c r="A225" s="537"/>
      <c r="B225" s="539"/>
      <c r="C225" s="539"/>
      <c r="D225" s="542"/>
      <c r="E225" s="539"/>
      <c r="F225" s="539"/>
      <c r="G225" s="92" t="s">
        <v>580</v>
      </c>
      <c r="H225" s="518"/>
      <c r="I225" s="524"/>
      <c r="J225" s="524"/>
      <c r="K225" s="95">
        <v>342.47</v>
      </c>
      <c r="L225" s="96">
        <f>7761*K225</f>
        <v>2657909.6700000004</v>
      </c>
      <c r="M225" s="97" t="s">
        <v>581</v>
      </c>
      <c r="N225" s="203"/>
    </row>
    <row r="226" spans="1:14" s="23" customFormat="1" ht="52.5" customHeight="1" x14ac:dyDescent="0.2">
      <c r="A226" s="299">
        <v>1633</v>
      </c>
      <c r="B226" s="501" t="s">
        <v>536</v>
      </c>
      <c r="C226" s="300">
        <v>2013</v>
      </c>
      <c r="D226" s="259" t="s">
        <v>537</v>
      </c>
      <c r="E226" s="302">
        <v>2018</v>
      </c>
      <c r="F226" s="300" t="s">
        <v>538</v>
      </c>
      <c r="G226" s="92" t="s">
        <v>588</v>
      </c>
      <c r="H226" s="303" t="s">
        <v>331</v>
      </c>
      <c r="I226" s="297">
        <v>129</v>
      </c>
      <c r="J226" s="297">
        <v>2392</v>
      </c>
      <c r="K226" s="95">
        <v>342.47</v>
      </c>
      <c r="L226" s="96">
        <f>3839*K226</f>
        <v>1314742.33</v>
      </c>
      <c r="M226" s="97" t="s">
        <v>539</v>
      </c>
      <c r="N226" s="203"/>
    </row>
    <row r="227" spans="1:14" s="23" customFormat="1" ht="17.25" customHeight="1" x14ac:dyDescent="0.2">
      <c r="A227" s="527">
        <v>1634</v>
      </c>
      <c r="B227" s="530" t="s">
        <v>545</v>
      </c>
      <c r="C227" s="530">
        <v>2018</v>
      </c>
      <c r="D227" s="533" t="s">
        <v>546</v>
      </c>
      <c r="E227" s="534">
        <v>2018</v>
      </c>
      <c r="F227" s="530" t="s">
        <v>260</v>
      </c>
      <c r="G227" s="92" t="s">
        <v>261</v>
      </c>
      <c r="H227" s="517" t="s">
        <v>16</v>
      </c>
      <c r="I227" s="521">
        <v>130</v>
      </c>
      <c r="J227" s="521">
        <v>2393</v>
      </c>
      <c r="K227" s="95">
        <v>5.3853999999999997</v>
      </c>
      <c r="L227" s="96">
        <f>500000*K227</f>
        <v>2692700</v>
      </c>
      <c r="M227" s="97" t="s">
        <v>547</v>
      </c>
      <c r="N227" s="203"/>
    </row>
    <row r="228" spans="1:14" s="23" customFormat="1" ht="17.25" customHeight="1" x14ac:dyDescent="0.2">
      <c r="A228" s="552"/>
      <c r="B228" s="554"/>
      <c r="C228" s="554"/>
      <c r="D228" s="555"/>
      <c r="E228" s="531"/>
      <c r="F228" s="554"/>
      <c r="G228" s="81" t="s">
        <v>261</v>
      </c>
      <c r="H228" s="551"/>
      <c r="I228" s="523"/>
      <c r="J228" s="523"/>
      <c r="K228" s="82">
        <v>5.4512</v>
      </c>
      <c r="L228" s="83">
        <f>500000*K228</f>
        <v>2725600</v>
      </c>
      <c r="M228" s="65" t="s">
        <v>548</v>
      </c>
      <c r="N228" s="203"/>
    </row>
    <row r="229" spans="1:14" s="23" customFormat="1" ht="42.75" customHeight="1" x14ac:dyDescent="0.2">
      <c r="A229" s="553"/>
      <c r="B229" s="538"/>
      <c r="C229" s="538"/>
      <c r="D229" s="542"/>
      <c r="E229" s="539"/>
      <c r="F229" s="538"/>
      <c r="G229" s="92" t="s">
        <v>613</v>
      </c>
      <c r="H229" s="556"/>
      <c r="I229" s="522"/>
      <c r="J229" s="522"/>
      <c r="K229" s="95">
        <v>5.4288999999999996</v>
      </c>
      <c r="L229" s="96">
        <f>175155*K229</f>
        <v>950898.9794999999</v>
      </c>
      <c r="M229" s="97" t="s">
        <v>549</v>
      </c>
      <c r="N229" s="203"/>
    </row>
    <row r="230" spans="1:14" s="23" customFormat="1" ht="39.75" customHeight="1" x14ac:dyDescent="0.2">
      <c r="A230" s="269">
        <v>1635</v>
      </c>
      <c r="B230" s="504" t="s">
        <v>550</v>
      </c>
      <c r="C230" s="270">
        <v>2016</v>
      </c>
      <c r="D230" s="113" t="s">
        <v>551</v>
      </c>
      <c r="E230" s="271">
        <v>2018</v>
      </c>
      <c r="F230" s="395" t="s">
        <v>426</v>
      </c>
      <c r="G230" s="81" t="s">
        <v>552</v>
      </c>
      <c r="H230" s="274" t="s">
        <v>569</v>
      </c>
      <c r="I230" s="272">
        <v>131</v>
      </c>
      <c r="J230" s="272">
        <v>2394</v>
      </c>
      <c r="K230" s="82">
        <v>342.47</v>
      </c>
      <c r="L230" s="83">
        <f>1190*K230</f>
        <v>407539.30000000005</v>
      </c>
      <c r="M230" s="65" t="s">
        <v>548</v>
      </c>
      <c r="N230" s="203"/>
    </row>
    <row r="231" spans="1:14" s="23" customFormat="1" ht="51.75" customHeight="1" x14ac:dyDescent="0.2">
      <c r="A231" s="310">
        <v>1636</v>
      </c>
      <c r="B231" s="501" t="s">
        <v>553</v>
      </c>
      <c r="C231" s="311">
        <v>2013</v>
      </c>
      <c r="D231" s="89" t="s">
        <v>554</v>
      </c>
      <c r="E231" s="312">
        <v>2018</v>
      </c>
      <c r="F231" s="311" t="s">
        <v>426</v>
      </c>
      <c r="G231" s="92" t="s">
        <v>605</v>
      </c>
      <c r="H231" s="313" t="s">
        <v>183</v>
      </c>
      <c r="I231" s="314">
        <v>132</v>
      </c>
      <c r="J231" s="314">
        <v>2395</v>
      </c>
      <c r="K231" s="95">
        <v>342.47</v>
      </c>
      <c r="L231" s="96">
        <f>753.43*K231</f>
        <v>258027.1721</v>
      </c>
      <c r="M231" s="97" t="s">
        <v>549</v>
      </c>
      <c r="N231" s="203"/>
    </row>
    <row r="232" spans="1:14" s="23" customFormat="1" ht="27.75" customHeight="1" x14ac:dyDescent="0.2">
      <c r="A232" s="331"/>
      <c r="B232" s="501" t="s">
        <v>26</v>
      </c>
      <c r="C232" s="332">
        <v>2015</v>
      </c>
      <c r="D232" s="99" t="s">
        <v>27</v>
      </c>
      <c r="E232" s="333" t="s">
        <v>47</v>
      </c>
      <c r="F232" s="88" t="s">
        <v>38</v>
      </c>
      <c r="G232" s="92" t="s">
        <v>10</v>
      </c>
      <c r="H232" s="334" t="s">
        <v>183</v>
      </c>
      <c r="I232" s="330"/>
      <c r="J232" s="330"/>
      <c r="K232" s="95">
        <v>342.47</v>
      </c>
      <c r="L232" s="96">
        <f>9000*K232</f>
        <v>3082230.0000000005</v>
      </c>
      <c r="M232" s="97" t="s">
        <v>549</v>
      </c>
      <c r="N232" s="203"/>
    </row>
    <row r="233" spans="1:14" s="23" customFormat="1" ht="18.75" customHeight="1" x14ac:dyDescent="0.2">
      <c r="A233" s="527"/>
      <c r="B233" s="530" t="s">
        <v>338</v>
      </c>
      <c r="C233" s="530">
        <v>2011</v>
      </c>
      <c r="D233" s="533" t="s">
        <v>339</v>
      </c>
      <c r="E233" s="534" t="s">
        <v>47</v>
      </c>
      <c r="F233" s="530" t="s">
        <v>38</v>
      </c>
      <c r="G233" s="92" t="s">
        <v>10</v>
      </c>
      <c r="H233" s="517" t="s">
        <v>16</v>
      </c>
      <c r="I233" s="521"/>
      <c r="J233" s="521"/>
      <c r="K233" s="95">
        <v>342.47</v>
      </c>
      <c r="L233" s="96">
        <f>9000*K233</f>
        <v>3082230.0000000005</v>
      </c>
      <c r="M233" s="97" t="s">
        <v>549</v>
      </c>
      <c r="N233" s="203"/>
    </row>
    <row r="234" spans="1:14" s="23" customFormat="1" ht="18" customHeight="1" x14ac:dyDescent="0.2">
      <c r="A234" s="528"/>
      <c r="B234" s="531"/>
      <c r="C234" s="531"/>
      <c r="D234" s="531"/>
      <c r="E234" s="531"/>
      <c r="F234" s="531"/>
      <c r="G234" s="92" t="s">
        <v>10</v>
      </c>
      <c r="H234" s="535"/>
      <c r="I234" s="525"/>
      <c r="J234" s="525"/>
      <c r="K234" s="95">
        <v>342.47</v>
      </c>
      <c r="L234" s="96">
        <f>9000*K234</f>
        <v>3082230.0000000005</v>
      </c>
      <c r="M234" s="97" t="s">
        <v>579</v>
      </c>
      <c r="N234" s="203"/>
    </row>
    <row r="235" spans="1:14" s="23" customFormat="1" ht="18" customHeight="1" x14ac:dyDescent="0.2">
      <c r="A235" s="528"/>
      <c r="B235" s="531"/>
      <c r="C235" s="531"/>
      <c r="D235" s="531"/>
      <c r="E235" s="531"/>
      <c r="F235" s="531"/>
      <c r="G235" s="92" t="s">
        <v>10</v>
      </c>
      <c r="H235" s="535"/>
      <c r="I235" s="525"/>
      <c r="J235" s="525"/>
      <c r="K235" s="95">
        <v>358.72</v>
      </c>
      <c r="L235" s="96">
        <f>9000*K235</f>
        <v>3228480.0000000005</v>
      </c>
      <c r="M235" s="97" t="s">
        <v>590</v>
      </c>
      <c r="N235" s="203"/>
    </row>
    <row r="236" spans="1:14" s="23" customFormat="1" ht="18" customHeight="1" x14ac:dyDescent="0.2">
      <c r="A236" s="528"/>
      <c r="B236" s="531"/>
      <c r="C236" s="531"/>
      <c r="D236" s="531"/>
      <c r="E236" s="531"/>
      <c r="F236" s="531"/>
      <c r="G236" s="92" t="s">
        <v>10</v>
      </c>
      <c r="H236" s="535"/>
      <c r="I236" s="525"/>
      <c r="J236" s="525"/>
      <c r="K236" s="95">
        <v>358.72</v>
      </c>
      <c r="L236" s="96">
        <f>9000*K236</f>
        <v>3228480.0000000005</v>
      </c>
      <c r="M236" s="97" t="s">
        <v>606</v>
      </c>
      <c r="N236" s="203"/>
    </row>
    <row r="237" spans="1:14" s="23" customFormat="1" ht="18" customHeight="1" x14ac:dyDescent="0.2">
      <c r="A237" s="528"/>
      <c r="B237" s="531"/>
      <c r="C237" s="531"/>
      <c r="D237" s="531"/>
      <c r="E237" s="531"/>
      <c r="F237" s="531"/>
      <c r="G237" s="92" t="s">
        <v>607</v>
      </c>
      <c r="H237" s="535"/>
      <c r="I237" s="525"/>
      <c r="J237" s="525"/>
      <c r="K237" s="95">
        <v>358.72</v>
      </c>
      <c r="L237" s="96">
        <f>3600*K237</f>
        <v>1291392</v>
      </c>
      <c r="M237" s="97" t="s">
        <v>608</v>
      </c>
      <c r="N237" s="203"/>
    </row>
    <row r="238" spans="1:14" s="23" customFormat="1" ht="18" customHeight="1" x14ac:dyDescent="0.2">
      <c r="A238" s="537"/>
      <c r="B238" s="539"/>
      <c r="C238" s="539"/>
      <c r="D238" s="539"/>
      <c r="E238" s="539"/>
      <c r="F238" s="539"/>
      <c r="G238" s="92" t="s">
        <v>635</v>
      </c>
      <c r="H238" s="518"/>
      <c r="I238" s="524"/>
      <c r="J238" s="524"/>
      <c r="K238" s="95">
        <v>333.9</v>
      </c>
      <c r="L238" s="96">
        <f>15000*K238</f>
        <v>5008500</v>
      </c>
      <c r="M238" s="97" t="s">
        <v>612</v>
      </c>
      <c r="N238" s="203"/>
    </row>
    <row r="239" spans="1:14" s="23" customFormat="1" ht="39.75" customHeight="1" x14ac:dyDescent="0.2">
      <c r="A239" s="275"/>
      <c r="B239" s="501" t="s">
        <v>322</v>
      </c>
      <c r="C239" s="276">
        <v>2015</v>
      </c>
      <c r="D239" s="259" t="s">
        <v>105</v>
      </c>
      <c r="E239" s="277" t="s">
        <v>55</v>
      </c>
      <c r="F239" s="276" t="s">
        <v>106</v>
      </c>
      <c r="G239" s="92" t="s">
        <v>380</v>
      </c>
      <c r="H239" s="278" t="s">
        <v>64</v>
      </c>
      <c r="I239" s="279">
        <v>133</v>
      </c>
      <c r="J239" s="279">
        <v>2396</v>
      </c>
      <c r="K239" s="95">
        <v>5.4211999999999998</v>
      </c>
      <c r="L239" s="96">
        <f>127367.42*K239</f>
        <v>690484.25730399997</v>
      </c>
      <c r="M239" s="97" t="s">
        <v>549</v>
      </c>
      <c r="N239" s="203"/>
    </row>
    <row r="240" spans="1:14" s="23" customFormat="1" ht="39.75" customHeight="1" x14ac:dyDescent="0.2">
      <c r="A240" s="275">
        <v>1637</v>
      </c>
      <c r="B240" s="501" t="s">
        <v>555</v>
      </c>
      <c r="C240" s="276">
        <v>2017</v>
      </c>
      <c r="D240" s="259" t="s">
        <v>105</v>
      </c>
      <c r="E240" s="277">
        <v>2018</v>
      </c>
      <c r="F240" s="276" t="s">
        <v>106</v>
      </c>
      <c r="G240" s="92" t="s">
        <v>380</v>
      </c>
      <c r="H240" s="278" t="s">
        <v>16</v>
      </c>
      <c r="I240" s="279">
        <v>134</v>
      </c>
      <c r="J240" s="279">
        <v>2397</v>
      </c>
      <c r="K240" s="95">
        <v>5.4272</v>
      </c>
      <c r="L240" s="96">
        <f>127367.42*K240</f>
        <v>691248.461824</v>
      </c>
      <c r="M240" s="97" t="s">
        <v>549</v>
      </c>
      <c r="N240" s="203"/>
    </row>
    <row r="241" spans="1:14" s="23" customFormat="1" ht="27.75" customHeight="1" x14ac:dyDescent="0.2">
      <c r="A241" s="321"/>
      <c r="B241" s="500" t="s">
        <v>614</v>
      </c>
      <c r="C241" s="322">
        <v>2011</v>
      </c>
      <c r="D241" s="381" t="s">
        <v>615</v>
      </c>
      <c r="E241" s="320" t="s">
        <v>47</v>
      </c>
      <c r="F241" s="383" t="s">
        <v>166</v>
      </c>
      <c r="G241" s="92" t="s">
        <v>616</v>
      </c>
      <c r="H241" s="319" t="s">
        <v>16</v>
      </c>
      <c r="I241" s="323"/>
      <c r="J241" s="323"/>
      <c r="K241" s="95">
        <v>5.36</v>
      </c>
      <c r="L241" s="96">
        <f>57870*K241</f>
        <v>310183.2</v>
      </c>
      <c r="M241" s="97" t="s">
        <v>617</v>
      </c>
      <c r="N241" s="203"/>
    </row>
    <row r="242" spans="1:14" s="23" customFormat="1" ht="27.75" customHeight="1" x14ac:dyDescent="0.2">
      <c r="A242" s="527">
        <v>1638</v>
      </c>
      <c r="B242" s="530" t="s">
        <v>556</v>
      </c>
      <c r="C242" s="530">
        <v>2016</v>
      </c>
      <c r="D242" s="533" t="s">
        <v>557</v>
      </c>
      <c r="E242" s="534">
        <v>2018</v>
      </c>
      <c r="F242" s="530" t="s">
        <v>558</v>
      </c>
      <c r="G242" s="92" t="s">
        <v>559</v>
      </c>
      <c r="H242" s="492" t="s">
        <v>183</v>
      </c>
      <c r="I242" s="521">
        <v>135</v>
      </c>
      <c r="J242" s="521">
        <v>2398</v>
      </c>
      <c r="K242" s="95">
        <v>342.47</v>
      </c>
      <c r="L242" s="96">
        <f>1500*K242</f>
        <v>513705.00000000006</v>
      </c>
      <c r="M242" s="97" t="s">
        <v>549</v>
      </c>
      <c r="N242" s="203"/>
    </row>
    <row r="243" spans="1:14" s="23" customFormat="1" ht="25.5" customHeight="1" x14ac:dyDescent="0.2">
      <c r="A243" s="537"/>
      <c r="B243" s="539"/>
      <c r="C243" s="539"/>
      <c r="D243" s="557"/>
      <c r="E243" s="539"/>
      <c r="F243" s="539"/>
      <c r="G243" s="92" t="s">
        <v>584</v>
      </c>
      <c r="H243" s="492" t="s">
        <v>16</v>
      </c>
      <c r="I243" s="524"/>
      <c r="J243" s="524"/>
      <c r="K243" s="95">
        <v>342.47</v>
      </c>
      <c r="L243" s="96">
        <f>2900*K243</f>
        <v>993163.00000000012</v>
      </c>
      <c r="M243" s="97" t="s">
        <v>585</v>
      </c>
      <c r="N243" s="203"/>
    </row>
    <row r="244" spans="1:14" s="23" customFormat="1" ht="39" customHeight="1" x14ac:dyDescent="0.2">
      <c r="A244" s="388">
        <v>1639</v>
      </c>
      <c r="B244" s="501" t="s">
        <v>561</v>
      </c>
      <c r="C244" s="389">
        <v>2014</v>
      </c>
      <c r="D244" s="89" t="s">
        <v>562</v>
      </c>
      <c r="E244" s="390">
        <v>2018</v>
      </c>
      <c r="F244" s="389" t="s">
        <v>563</v>
      </c>
      <c r="G244" s="92" t="s">
        <v>564</v>
      </c>
      <c r="H244" s="391" t="s">
        <v>16</v>
      </c>
      <c r="I244" s="392">
        <v>136</v>
      </c>
      <c r="J244" s="392">
        <v>2399</v>
      </c>
      <c r="K244" s="95">
        <v>5.35</v>
      </c>
      <c r="L244" s="96">
        <f>36000*K244</f>
        <v>192600</v>
      </c>
      <c r="M244" s="97" t="s">
        <v>565</v>
      </c>
      <c r="N244" s="203"/>
    </row>
    <row r="245" spans="1:14" s="23" customFormat="1" ht="54" customHeight="1" x14ac:dyDescent="0.2">
      <c r="A245" s="388">
        <v>1640</v>
      </c>
      <c r="B245" s="501" t="s">
        <v>566</v>
      </c>
      <c r="C245" s="389">
        <v>2015</v>
      </c>
      <c r="D245" s="89" t="s">
        <v>567</v>
      </c>
      <c r="E245" s="390">
        <v>2018</v>
      </c>
      <c r="F245" s="389" t="s">
        <v>563</v>
      </c>
      <c r="G245" s="92" t="s">
        <v>568</v>
      </c>
      <c r="H245" s="391" t="s">
        <v>16</v>
      </c>
      <c r="I245" s="392">
        <v>137</v>
      </c>
      <c r="J245" s="392">
        <v>2400</v>
      </c>
      <c r="K245" s="95">
        <v>5.35</v>
      </c>
      <c r="L245" s="96">
        <f>35000*K245</f>
        <v>187250</v>
      </c>
      <c r="M245" s="97" t="s">
        <v>565</v>
      </c>
      <c r="N245" s="203"/>
    </row>
    <row r="246" spans="1:14" s="23" customFormat="1" ht="42" customHeight="1" x14ac:dyDescent="0.2">
      <c r="A246" s="286"/>
      <c r="B246" s="501" t="s">
        <v>272</v>
      </c>
      <c r="C246" s="287">
        <v>2016</v>
      </c>
      <c r="D246" s="291" t="s">
        <v>105</v>
      </c>
      <c r="E246" s="288" t="s">
        <v>313</v>
      </c>
      <c r="F246" s="287" t="s">
        <v>106</v>
      </c>
      <c r="G246" s="92" t="s">
        <v>380</v>
      </c>
      <c r="H246" s="289" t="s">
        <v>16</v>
      </c>
      <c r="I246" s="290">
        <v>138</v>
      </c>
      <c r="J246" s="290">
        <v>2401</v>
      </c>
      <c r="K246" s="95">
        <v>5.5167000000000002</v>
      </c>
      <c r="L246" s="96">
        <f>127367.42*K246</f>
        <v>702647.84591400006</v>
      </c>
      <c r="M246" s="97" t="s">
        <v>573</v>
      </c>
      <c r="N246" s="203"/>
    </row>
    <row r="247" spans="1:14" s="23" customFormat="1" ht="39" customHeight="1" x14ac:dyDescent="0.2">
      <c r="A247" s="286"/>
      <c r="B247" s="501" t="s">
        <v>104</v>
      </c>
      <c r="C247" s="287">
        <v>2016</v>
      </c>
      <c r="D247" s="291" t="s">
        <v>105</v>
      </c>
      <c r="E247" s="288" t="s">
        <v>51</v>
      </c>
      <c r="F247" s="287" t="s">
        <v>106</v>
      </c>
      <c r="G247" s="92" t="s">
        <v>380</v>
      </c>
      <c r="H247" s="289" t="s">
        <v>16</v>
      </c>
      <c r="I247" s="290">
        <v>139</v>
      </c>
      <c r="J247" s="290">
        <v>2402</v>
      </c>
      <c r="K247" s="95">
        <v>5.5167000000000002</v>
      </c>
      <c r="L247" s="96">
        <f>127367.42*K247</f>
        <v>702647.84591400006</v>
      </c>
      <c r="M247" s="97" t="s">
        <v>573</v>
      </c>
      <c r="N247" s="203"/>
    </row>
    <row r="248" spans="1:14" s="23" customFormat="1" ht="40.5" customHeight="1" x14ac:dyDescent="0.2">
      <c r="A248" s="286"/>
      <c r="B248" s="501" t="s">
        <v>383</v>
      </c>
      <c r="C248" s="287">
        <v>2017</v>
      </c>
      <c r="D248" s="291" t="s">
        <v>105</v>
      </c>
      <c r="E248" s="288" t="s">
        <v>55</v>
      </c>
      <c r="F248" s="287" t="s">
        <v>106</v>
      </c>
      <c r="G248" s="92" t="s">
        <v>574</v>
      </c>
      <c r="H248" s="289" t="s">
        <v>16</v>
      </c>
      <c r="I248" s="290">
        <v>140</v>
      </c>
      <c r="J248" s="290">
        <v>2403</v>
      </c>
      <c r="K248" s="95">
        <v>5.5167000000000002</v>
      </c>
      <c r="L248" s="96">
        <f>122880.41*K248</f>
        <v>677894.35784700001</v>
      </c>
      <c r="M248" s="97" t="s">
        <v>573</v>
      </c>
      <c r="N248" s="203"/>
    </row>
    <row r="249" spans="1:14" s="23" customFormat="1" ht="21" customHeight="1" x14ac:dyDescent="0.2">
      <c r="A249" s="527"/>
      <c r="B249" s="530" t="s">
        <v>359</v>
      </c>
      <c r="C249" s="530">
        <v>2014</v>
      </c>
      <c r="D249" s="533" t="s">
        <v>105</v>
      </c>
      <c r="E249" s="534" t="s">
        <v>55</v>
      </c>
      <c r="F249" s="530" t="s">
        <v>106</v>
      </c>
      <c r="G249" s="92" t="s">
        <v>575</v>
      </c>
      <c r="H249" s="517" t="s">
        <v>16</v>
      </c>
      <c r="I249" s="521">
        <v>141</v>
      </c>
      <c r="J249" s="521">
        <v>2404</v>
      </c>
      <c r="K249" s="95">
        <v>5.5167000000000002</v>
      </c>
      <c r="L249" s="96">
        <f>117575.41*K249</f>
        <v>648628.26434700005</v>
      </c>
      <c r="M249" s="97" t="s">
        <v>573</v>
      </c>
      <c r="N249" s="203"/>
    </row>
    <row r="250" spans="1:14" s="23" customFormat="1" ht="18.75" customHeight="1" x14ac:dyDescent="0.2">
      <c r="A250" s="553"/>
      <c r="B250" s="538"/>
      <c r="C250" s="538"/>
      <c r="D250" s="557"/>
      <c r="E250" s="539"/>
      <c r="F250" s="538"/>
      <c r="G250" s="92" t="s">
        <v>577</v>
      </c>
      <c r="H250" s="556"/>
      <c r="I250" s="522"/>
      <c r="J250" s="522"/>
      <c r="K250" s="95">
        <v>5.5167000000000002</v>
      </c>
      <c r="L250" s="96">
        <f>133551.41*K250</f>
        <v>736763.06354700006</v>
      </c>
      <c r="M250" s="97" t="s">
        <v>573</v>
      </c>
      <c r="N250" s="203"/>
    </row>
    <row r="251" spans="1:14" s="23" customFormat="1" ht="17.25" customHeight="1" x14ac:dyDescent="0.2">
      <c r="A251" s="527"/>
      <c r="B251" s="530" t="s">
        <v>318</v>
      </c>
      <c r="C251" s="530">
        <v>2017</v>
      </c>
      <c r="D251" s="533" t="s">
        <v>105</v>
      </c>
      <c r="E251" s="534" t="s">
        <v>55</v>
      </c>
      <c r="F251" s="530" t="s">
        <v>106</v>
      </c>
      <c r="G251" s="92" t="s">
        <v>576</v>
      </c>
      <c r="H251" s="517" t="s">
        <v>16</v>
      </c>
      <c r="I251" s="521">
        <v>142</v>
      </c>
      <c r="J251" s="521">
        <v>2405</v>
      </c>
      <c r="K251" s="95">
        <v>5.5167000000000002</v>
      </c>
      <c r="L251" s="96">
        <f>121739.75*K251</f>
        <v>671601.67882500007</v>
      </c>
      <c r="M251" s="97" t="s">
        <v>573</v>
      </c>
      <c r="N251" s="203"/>
    </row>
    <row r="252" spans="1:14" s="23" customFormat="1" ht="24" customHeight="1" x14ac:dyDescent="0.2">
      <c r="A252" s="553"/>
      <c r="B252" s="538"/>
      <c r="C252" s="538"/>
      <c r="D252" s="557"/>
      <c r="E252" s="539"/>
      <c r="F252" s="538"/>
      <c r="G252" s="92" t="s">
        <v>578</v>
      </c>
      <c r="H252" s="556"/>
      <c r="I252" s="522"/>
      <c r="J252" s="522"/>
      <c r="K252" s="95">
        <v>5.5167000000000002</v>
      </c>
      <c r="L252" s="96">
        <f>123147.58*K252</f>
        <v>679368.254586</v>
      </c>
      <c r="M252" s="97" t="s">
        <v>573</v>
      </c>
      <c r="N252" s="203"/>
    </row>
    <row r="253" spans="1:14" s="23" customFormat="1" ht="41.25" customHeight="1" x14ac:dyDescent="0.2">
      <c r="A253" s="527">
        <v>1641</v>
      </c>
      <c r="B253" s="530" t="s">
        <v>582</v>
      </c>
      <c r="C253" s="530">
        <v>2011</v>
      </c>
      <c r="D253" s="533" t="s">
        <v>583</v>
      </c>
      <c r="E253" s="534">
        <v>2018</v>
      </c>
      <c r="F253" s="530" t="s">
        <v>426</v>
      </c>
      <c r="G253" s="81" t="s">
        <v>10</v>
      </c>
      <c r="H253" s="298" t="s">
        <v>16</v>
      </c>
      <c r="I253" s="521">
        <v>143</v>
      </c>
      <c r="J253" s="521">
        <v>2406</v>
      </c>
      <c r="K253" s="95">
        <v>342.47</v>
      </c>
      <c r="L253" s="96">
        <f>9000*K253</f>
        <v>3082230.0000000005</v>
      </c>
      <c r="M253" s="97" t="s">
        <v>581</v>
      </c>
      <c r="N253" s="203"/>
    </row>
    <row r="254" spans="1:14" s="23" customFormat="1" ht="25.5" customHeight="1" x14ac:dyDescent="0.2">
      <c r="A254" s="537"/>
      <c r="B254" s="539"/>
      <c r="C254" s="539"/>
      <c r="D254" s="557"/>
      <c r="E254" s="539"/>
      <c r="F254" s="539"/>
      <c r="G254" s="92" t="s">
        <v>641</v>
      </c>
      <c r="H254" s="334" t="s">
        <v>64</v>
      </c>
      <c r="I254" s="524"/>
      <c r="J254" s="524"/>
      <c r="K254" s="95">
        <v>364.63</v>
      </c>
      <c r="L254" s="96">
        <f>1140.2*K254</f>
        <v>415751.12599999999</v>
      </c>
      <c r="M254" s="97" t="s">
        <v>593</v>
      </c>
      <c r="N254" s="203"/>
    </row>
    <row r="255" spans="1:14" s="23" customFormat="1" ht="63" customHeight="1" x14ac:dyDescent="0.2">
      <c r="A255" s="487">
        <v>1642</v>
      </c>
      <c r="B255" s="501" t="s">
        <v>586</v>
      </c>
      <c r="C255" s="485">
        <v>2007</v>
      </c>
      <c r="D255" s="89" t="s">
        <v>587</v>
      </c>
      <c r="E255" s="486">
        <v>2018</v>
      </c>
      <c r="F255" s="485" t="s">
        <v>225</v>
      </c>
      <c r="G255" s="92" t="s">
        <v>98</v>
      </c>
      <c r="H255" s="488" t="s">
        <v>589</v>
      </c>
      <c r="I255" s="482">
        <v>144</v>
      </c>
      <c r="J255" s="482">
        <v>2407</v>
      </c>
      <c r="K255" s="95">
        <v>5.5529999999999999</v>
      </c>
      <c r="L255" s="96">
        <f>44990*K255</f>
        <v>249829.47</v>
      </c>
      <c r="M255" s="97" t="s">
        <v>585</v>
      </c>
      <c r="N255" s="203"/>
    </row>
    <row r="256" spans="1:14" s="23" customFormat="1" ht="115.5" customHeight="1" x14ac:dyDescent="0.2">
      <c r="A256" s="331">
        <v>1643</v>
      </c>
      <c r="B256" s="501" t="s">
        <v>639</v>
      </c>
      <c r="C256" s="332">
        <v>2012</v>
      </c>
      <c r="D256" s="123" t="s">
        <v>640</v>
      </c>
      <c r="E256" s="333">
        <v>2018</v>
      </c>
      <c r="F256" s="332" t="s">
        <v>38</v>
      </c>
      <c r="G256" s="92" t="s">
        <v>634</v>
      </c>
      <c r="H256" s="334" t="s">
        <v>16</v>
      </c>
      <c r="I256" s="330">
        <v>145</v>
      </c>
      <c r="J256" s="330">
        <v>2408</v>
      </c>
      <c r="K256" s="95">
        <v>352.54</v>
      </c>
      <c r="L256" s="96">
        <f>18000*K256</f>
        <v>6345720</v>
      </c>
      <c r="M256" s="97" t="s">
        <v>590</v>
      </c>
      <c r="N256" s="203"/>
    </row>
    <row r="257" spans="1:14" s="23" customFormat="1" ht="40.5" customHeight="1" x14ac:dyDescent="0.2">
      <c r="A257" s="316">
        <v>1644</v>
      </c>
      <c r="B257" s="501" t="s">
        <v>591</v>
      </c>
      <c r="C257" s="317">
        <v>2018</v>
      </c>
      <c r="D257" s="259" t="s">
        <v>105</v>
      </c>
      <c r="E257" s="318">
        <v>2018</v>
      </c>
      <c r="F257" s="88" t="s">
        <v>106</v>
      </c>
      <c r="G257" s="92" t="s">
        <v>592</v>
      </c>
      <c r="H257" s="319" t="s">
        <v>16</v>
      </c>
      <c r="I257" s="315">
        <v>146</v>
      </c>
      <c r="J257" s="315">
        <v>2409</v>
      </c>
      <c r="K257" s="95">
        <v>5.6074000000000002</v>
      </c>
      <c r="L257" s="96">
        <f>151014.41*K257</f>
        <v>846798.20263399999</v>
      </c>
      <c r="M257" s="97" t="s">
        <v>593</v>
      </c>
      <c r="N257" s="203"/>
    </row>
    <row r="258" spans="1:14" s="23" customFormat="1" ht="39" customHeight="1" x14ac:dyDescent="0.2">
      <c r="A258" s="316"/>
      <c r="B258" s="501" t="s">
        <v>499</v>
      </c>
      <c r="C258" s="317">
        <v>2016</v>
      </c>
      <c r="D258" s="260" t="s">
        <v>500</v>
      </c>
      <c r="E258" s="318" t="s">
        <v>55</v>
      </c>
      <c r="F258" s="88" t="s">
        <v>106</v>
      </c>
      <c r="G258" s="92" t="s">
        <v>594</v>
      </c>
      <c r="H258" s="434" t="s">
        <v>775</v>
      </c>
      <c r="I258" s="315">
        <v>147</v>
      </c>
      <c r="J258" s="315">
        <v>2410</v>
      </c>
      <c r="K258" s="95">
        <v>5.6074000000000002</v>
      </c>
      <c r="L258" s="96">
        <f>121019.41*K258</f>
        <v>678604.239634</v>
      </c>
      <c r="M258" s="97" t="s">
        <v>593</v>
      </c>
      <c r="N258" s="203"/>
    </row>
    <row r="259" spans="1:14" s="23" customFormat="1" ht="41.25" customHeight="1" x14ac:dyDescent="0.2">
      <c r="A259" s="316">
        <v>1645</v>
      </c>
      <c r="B259" s="501" t="s">
        <v>595</v>
      </c>
      <c r="C259" s="317">
        <v>2017</v>
      </c>
      <c r="D259" s="259" t="s">
        <v>105</v>
      </c>
      <c r="E259" s="318">
        <v>2018</v>
      </c>
      <c r="F259" s="88" t="s">
        <v>106</v>
      </c>
      <c r="G259" s="92" t="s">
        <v>596</v>
      </c>
      <c r="H259" s="319" t="s">
        <v>16</v>
      </c>
      <c r="I259" s="315">
        <v>148</v>
      </c>
      <c r="J259" s="315">
        <v>2411</v>
      </c>
      <c r="K259" s="95">
        <v>5.6074000000000002</v>
      </c>
      <c r="L259" s="96">
        <f>123865.17*K259</f>
        <v>694561.55425799999</v>
      </c>
      <c r="M259" s="97" t="s">
        <v>593</v>
      </c>
      <c r="N259" s="203"/>
    </row>
    <row r="260" spans="1:14" s="23" customFormat="1" ht="37.5" customHeight="1" x14ac:dyDescent="0.2">
      <c r="A260" s="316">
        <v>1646</v>
      </c>
      <c r="B260" s="501" t="s">
        <v>597</v>
      </c>
      <c r="C260" s="317">
        <v>2017</v>
      </c>
      <c r="D260" s="259" t="s">
        <v>105</v>
      </c>
      <c r="E260" s="318">
        <v>2018</v>
      </c>
      <c r="F260" s="88" t="s">
        <v>106</v>
      </c>
      <c r="G260" s="92" t="s">
        <v>574</v>
      </c>
      <c r="H260" s="319" t="s">
        <v>16</v>
      </c>
      <c r="I260" s="315">
        <v>149</v>
      </c>
      <c r="J260" s="315">
        <v>2412</v>
      </c>
      <c r="K260" s="95">
        <v>5.6074000000000002</v>
      </c>
      <c r="L260" s="96">
        <f>122880.41*K260</f>
        <v>689039.61103400006</v>
      </c>
      <c r="M260" s="97" t="s">
        <v>593</v>
      </c>
      <c r="N260" s="203"/>
    </row>
    <row r="261" spans="1:14" s="23" customFormat="1" ht="21.75" customHeight="1" x14ac:dyDescent="0.2">
      <c r="A261" s="527"/>
      <c r="B261" s="530" t="s">
        <v>316</v>
      </c>
      <c r="C261" s="530">
        <v>2017</v>
      </c>
      <c r="D261" s="541" t="s">
        <v>105</v>
      </c>
      <c r="E261" s="534" t="s">
        <v>313</v>
      </c>
      <c r="F261" s="530" t="s">
        <v>106</v>
      </c>
      <c r="G261" s="92" t="s">
        <v>380</v>
      </c>
      <c r="H261" s="517" t="s">
        <v>659</v>
      </c>
      <c r="I261" s="521">
        <v>150</v>
      </c>
      <c r="J261" s="521">
        <v>2413</v>
      </c>
      <c r="K261" s="95">
        <v>5.6074000000000002</v>
      </c>
      <c r="L261" s="96">
        <f>127367.42*K261</f>
        <v>714200.07090799999</v>
      </c>
      <c r="M261" s="97" t="s">
        <v>593</v>
      </c>
      <c r="N261" s="203"/>
    </row>
    <row r="262" spans="1:14" s="23" customFormat="1" ht="28.5" customHeight="1" x14ac:dyDescent="0.2">
      <c r="A262" s="553"/>
      <c r="B262" s="538"/>
      <c r="C262" s="538"/>
      <c r="D262" s="542"/>
      <c r="E262" s="539"/>
      <c r="F262" s="539"/>
      <c r="G262" s="92" t="s">
        <v>377</v>
      </c>
      <c r="H262" s="556"/>
      <c r="I262" s="522"/>
      <c r="J262" s="522"/>
      <c r="K262" s="95">
        <v>5.6074000000000002</v>
      </c>
      <c r="L262" s="96">
        <f>129917.42*K262</f>
        <v>728498.94090799999</v>
      </c>
      <c r="M262" s="97" t="s">
        <v>593</v>
      </c>
      <c r="N262" s="203"/>
    </row>
    <row r="263" spans="1:14" s="23" customFormat="1" ht="18" customHeight="1" x14ac:dyDescent="0.2">
      <c r="A263" s="527">
        <v>1647</v>
      </c>
      <c r="B263" s="530" t="s">
        <v>598</v>
      </c>
      <c r="C263" s="530">
        <v>2017</v>
      </c>
      <c r="D263" s="541" t="s">
        <v>105</v>
      </c>
      <c r="E263" s="534">
        <v>2018</v>
      </c>
      <c r="F263" s="530" t="s">
        <v>106</v>
      </c>
      <c r="G263" s="92" t="s">
        <v>599</v>
      </c>
      <c r="H263" s="517" t="s">
        <v>16</v>
      </c>
      <c r="I263" s="521">
        <v>151</v>
      </c>
      <c r="J263" s="521">
        <v>2414</v>
      </c>
      <c r="K263" s="95">
        <v>5.6074000000000002</v>
      </c>
      <c r="L263" s="96">
        <f>120330.41*K263</f>
        <v>674740.74103400006</v>
      </c>
      <c r="M263" s="97" t="s">
        <v>593</v>
      </c>
      <c r="N263" s="203"/>
    </row>
    <row r="264" spans="1:14" s="23" customFormat="1" ht="21.75" customHeight="1" x14ac:dyDescent="0.2">
      <c r="A264" s="553"/>
      <c r="B264" s="538"/>
      <c r="C264" s="538"/>
      <c r="D264" s="542"/>
      <c r="E264" s="539"/>
      <c r="F264" s="539"/>
      <c r="G264" s="92" t="s">
        <v>600</v>
      </c>
      <c r="H264" s="556"/>
      <c r="I264" s="522"/>
      <c r="J264" s="522"/>
      <c r="K264" s="95">
        <v>5.6074000000000002</v>
      </c>
      <c r="L264" s="96">
        <f>125430.41*K264</f>
        <v>703338.48103400005</v>
      </c>
      <c r="M264" s="97" t="s">
        <v>593</v>
      </c>
      <c r="N264" s="203"/>
    </row>
    <row r="265" spans="1:14" s="23" customFormat="1" ht="53.25" customHeight="1" x14ac:dyDescent="0.2">
      <c r="A265" s="310">
        <v>1648</v>
      </c>
      <c r="B265" s="501" t="s">
        <v>601</v>
      </c>
      <c r="C265" s="311">
        <v>2002</v>
      </c>
      <c r="D265" s="89" t="s">
        <v>150</v>
      </c>
      <c r="E265" s="312">
        <v>2018</v>
      </c>
      <c r="F265" s="361" t="s">
        <v>151</v>
      </c>
      <c r="G265" s="92" t="s">
        <v>602</v>
      </c>
      <c r="H265" s="313" t="s">
        <v>16</v>
      </c>
      <c r="I265" s="314">
        <v>152</v>
      </c>
      <c r="J265" s="314">
        <v>2415</v>
      </c>
      <c r="K265" s="95">
        <v>5.6063000000000001</v>
      </c>
      <c r="L265" s="96">
        <f>142545*K265</f>
        <v>799150.03350000002</v>
      </c>
      <c r="M265" s="97" t="s">
        <v>593</v>
      </c>
      <c r="N265" s="203"/>
    </row>
    <row r="266" spans="1:14" s="23" customFormat="1" ht="27.75" customHeight="1" x14ac:dyDescent="0.2">
      <c r="A266" s="321"/>
      <c r="B266" s="500" t="s">
        <v>619</v>
      </c>
      <c r="C266" s="322">
        <v>2016</v>
      </c>
      <c r="D266" s="377" t="s">
        <v>618</v>
      </c>
      <c r="E266" s="320" t="s">
        <v>47</v>
      </c>
      <c r="F266" s="320" t="s">
        <v>166</v>
      </c>
      <c r="G266" s="92" t="s">
        <v>620</v>
      </c>
      <c r="H266" s="451" t="s">
        <v>16</v>
      </c>
      <c r="I266" s="323"/>
      <c r="J266" s="323"/>
      <c r="K266" s="95">
        <v>5.5</v>
      </c>
      <c r="L266" s="96">
        <f>68680*K266</f>
        <v>377740</v>
      </c>
      <c r="M266" s="97" t="s">
        <v>593</v>
      </c>
      <c r="N266" s="203"/>
    </row>
    <row r="267" spans="1:14" s="23" customFormat="1" ht="27.75" customHeight="1" x14ac:dyDescent="0.2">
      <c r="A267" s="527"/>
      <c r="B267" s="530" t="s">
        <v>603</v>
      </c>
      <c r="C267" s="530">
        <v>2011</v>
      </c>
      <c r="D267" s="533" t="s">
        <v>604</v>
      </c>
      <c r="E267" s="534" t="s">
        <v>313</v>
      </c>
      <c r="F267" s="534" t="s">
        <v>410</v>
      </c>
      <c r="G267" s="92" t="s">
        <v>14</v>
      </c>
      <c r="H267" s="449" t="s">
        <v>64</v>
      </c>
      <c r="I267" s="521">
        <v>153</v>
      </c>
      <c r="J267" s="521">
        <v>2416</v>
      </c>
      <c r="K267" s="95">
        <v>364.63</v>
      </c>
      <c r="L267" s="96">
        <f>5000*K267</f>
        <v>1823150</v>
      </c>
      <c r="M267" s="97" t="s">
        <v>593</v>
      </c>
      <c r="N267" s="203"/>
    </row>
    <row r="268" spans="1:14" s="23" customFormat="1" ht="18" customHeight="1" x14ac:dyDescent="0.2">
      <c r="A268" s="528"/>
      <c r="B268" s="531"/>
      <c r="C268" s="531"/>
      <c r="D268" s="531"/>
      <c r="E268" s="531"/>
      <c r="F268" s="531"/>
      <c r="G268" s="92" t="s">
        <v>10</v>
      </c>
      <c r="H268" s="517" t="s">
        <v>16</v>
      </c>
      <c r="I268" s="525"/>
      <c r="J268" s="525"/>
      <c r="K268" s="95">
        <v>358.72</v>
      </c>
      <c r="L268" s="96">
        <f>9000*K268</f>
        <v>3228480.0000000005</v>
      </c>
      <c r="M268" s="97" t="s">
        <v>606</v>
      </c>
      <c r="N268" s="203"/>
    </row>
    <row r="269" spans="1:14" s="23" customFormat="1" ht="18" customHeight="1" x14ac:dyDescent="0.2">
      <c r="A269" s="528"/>
      <c r="B269" s="531"/>
      <c r="C269" s="531"/>
      <c r="D269" s="531"/>
      <c r="E269" s="531"/>
      <c r="F269" s="531"/>
      <c r="G269" s="92" t="s">
        <v>10</v>
      </c>
      <c r="H269" s="551"/>
      <c r="I269" s="525"/>
      <c r="J269" s="525"/>
      <c r="K269" s="95">
        <v>358.72</v>
      </c>
      <c r="L269" s="96">
        <f>9000*K269</f>
        <v>3228480.0000000005</v>
      </c>
      <c r="M269" s="97" t="s">
        <v>610</v>
      </c>
      <c r="N269" s="203"/>
    </row>
    <row r="270" spans="1:14" s="23" customFormat="1" ht="18" customHeight="1" x14ac:dyDescent="0.2">
      <c r="A270" s="528"/>
      <c r="B270" s="531"/>
      <c r="C270" s="531"/>
      <c r="D270" s="531"/>
      <c r="E270" s="531"/>
      <c r="F270" s="531"/>
      <c r="G270" s="92" t="s">
        <v>14</v>
      </c>
      <c r="H270" s="518"/>
      <c r="I270" s="525"/>
      <c r="J270" s="525"/>
      <c r="K270" s="95">
        <v>358.72</v>
      </c>
      <c r="L270" s="96">
        <f>5000*K270</f>
        <v>1793600.0000000002</v>
      </c>
      <c r="M270" s="97" t="s">
        <v>646</v>
      </c>
      <c r="N270" s="203"/>
    </row>
    <row r="271" spans="1:14" s="23" customFormat="1" ht="26.25" customHeight="1" x14ac:dyDescent="0.2">
      <c r="A271" s="528"/>
      <c r="B271" s="531"/>
      <c r="C271" s="531"/>
      <c r="D271" s="531"/>
      <c r="E271" s="531"/>
      <c r="F271" s="531"/>
      <c r="G271" s="92" t="s">
        <v>10</v>
      </c>
      <c r="H271" s="449" t="s">
        <v>64</v>
      </c>
      <c r="I271" s="525"/>
      <c r="J271" s="525"/>
      <c r="K271" s="95">
        <v>369.5</v>
      </c>
      <c r="L271" s="96">
        <f>9000*K271</f>
        <v>3325500</v>
      </c>
      <c r="M271" s="97" t="s">
        <v>660</v>
      </c>
      <c r="N271" s="203"/>
    </row>
    <row r="272" spans="1:14" s="23" customFormat="1" ht="14.25" customHeight="1" x14ac:dyDescent="0.2">
      <c r="A272" s="528"/>
      <c r="B272" s="531"/>
      <c r="C272" s="531"/>
      <c r="D272" s="531"/>
      <c r="E272" s="531"/>
      <c r="F272" s="531"/>
      <c r="G272" s="92" t="s">
        <v>10</v>
      </c>
      <c r="H272" s="517" t="s">
        <v>16</v>
      </c>
      <c r="I272" s="525"/>
      <c r="J272" s="525"/>
      <c r="K272" s="95">
        <v>358.72</v>
      </c>
      <c r="L272" s="96">
        <f>9000*K272</f>
        <v>3228480.0000000005</v>
      </c>
      <c r="M272" s="97" t="s">
        <v>666</v>
      </c>
      <c r="N272" s="203"/>
    </row>
    <row r="273" spans="1:14" s="23" customFormat="1" ht="15" customHeight="1" x14ac:dyDescent="0.2">
      <c r="A273" s="537"/>
      <c r="B273" s="539"/>
      <c r="C273" s="539"/>
      <c r="D273" s="539"/>
      <c r="E273" s="539"/>
      <c r="F273" s="539"/>
      <c r="G273" s="92" t="s">
        <v>116</v>
      </c>
      <c r="H273" s="518"/>
      <c r="I273" s="524"/>
      <c r="J273" s="524"/>
      <c r="K273" s="95">
        <v>358.72</v>
      </c>
      <c r="L273" s="96">
        <f>2000*K273</f>
        <v>717440</v>
      </c>
      <c r="M273" s="97" t="s">
        <v>678</v>
      </c>
      <c r="N273" s="203"/>
    </row>
    <row r="274" spans="1:14" s="23" customFormat="1" ht="27.75" customHeight="1" x14ac:dyDescent="0.2">
      <c r="A274" s="331"/>
      <c r="B274" s="501" t="s">
        <v>26</v>
      </c>
      <c r="C274" s="332">
        <v>2015</v>
      </c>
      <c r="D274" s="336" t="s">
        <v>27</v>
      </c>
      <c r="E274" s="333" t="s">
        <v>47</v>
      </c>
      <c r="F274" s="333" t="s">
        <v>38</v>
      </c>
      <c r="G274" s="92" t="s">
        <v>609</v>
      </c>
      <c r="H274" s="334" t="s">
        <v>16</v>
      </c>
      <c r="I274" s="330"/>
      <c r="J274" s="330"/>
      <c r="K274" s="95">
        <v>358.72</v>
      </c>
      <c r="L274" s="96">
        <f>1000*K274</f>
        <v>358720</v>
      </c>
      <c r="M274" s="97" t="s">
        <v>606</v>
      </c>
      <c r="N274" s="203"/>
    </row>
    <row r="275" spans="1:14" s="23" customFormat="1" ht="51" customHeight="1" x14ac:dyDescent="0.2">
      <c r="A275" s="343"/>
      <c r="B275" s="501" t="s">
        <v>591</v>
      </c>
      <c r="C275" s="344">
        <v>2018</v>
      </c>
      <c r="D275" s="259" t="s">
        <v>105</v>
      </c>
      <c r="E275" s="345" t="s">
        <v>621</v>
      </c>
      <c r="F275" s="88" t="s">
        <v>106</v>
      </c>
      <c r="G275" s="92" t="s">
        <v>611</v>
      </c>
      <c r="H275" s="347" t="s">
        <v>645</v>
      </c>
      <c r="I275" s="346">
        <v>154</v>
      </c>
      <c r="J275" s="346">
        <v>2417</v>
      </c>
      <c r="K275" s="95">
        <v>5.6627000000000001</v>
      </c>
      <c r="L275" s="96">
        <f>140772.41*K275</f>
        <v>797151.92610699998</v>
      </c>
      <c r="M275" s="97" t="s">
        <v>612</v>
      </c>
      <c r="N275" s="203"/>
    </row>
    <row r="276" spans="1:14" s="23" customFormat="1" ht="41.25" customHeight="1" x14ac:dyDescent="0.2">
      <c r="A276" s="466"/>
      <c r="B276" s="501" t="s">
        <v>490</v>
      </c>
      <c r="C276" s="464">
        <v>2008</v>
      </c>
      <c r="D276" s="215" t="s">
        <v>623</v>
      </c>
      <c r="E276" s="465" t="s">
        <v>47</v>
      </c>
      <c r="F276" s="464" t="s">
        <v>492</v>
      </c>
      <c r="G276" s="92" t="s">
        <v>624</v>
      </c>
      <c r="H276" s="467" t="s">
        <v>16</v>
      </c>
      <c r="I276" s="468"/>
      <c r="J276" s="468"/>
      <c r="K276" s="95">
        <v>431.26</v>
      </c>
      <c r="L276" s="96">
        <f>510.32*K276</f>
        <v>220080.60319999998</v>
      </c>
      <c r="M276" s="97" t="s">
        <v>625</v>
      </c>
      <c r="N276" s="203"/>
    </row>
    <row r="277" spans="1:14" s="23" customFormat="1" ht="100.5" customHeight="1" x14ac:dyDescent="0.2">
      <c r="A277" s="331"/>
      <c r="B277" s="501" t="s">
        <v>459</v>
      </c>
      <c r="C277" s="332">
        <v>2003</v>
      </c>
      <c r="D277" s="335" t="s">
        <v>460</v>
      </c>
      <c r="E277" s="333" t="s">
        <v>636</v>
      </c>
      <c r="F277" s="339" t="s">
        <v>38</v>
      </c>
      <c r="G277" s="92" t="s">
        <v>637</v>
      </c>
      <c r="H277" s="334" t="s">
        <v>16</v>
      </c>
      <c r="I277" s="330">
        <v>155</v>
      </c>
      <c r="J277" s="330">
        <v>2418</v>
      </c>
      <c r="K277" s="95">
        <v>342.47</v>
      </c>
      <c r="L277" s="96">
        <f>20000*K277</f>
        <v>6849400.0000000009</v>
      </c>
      <c r="M277" s="97" t="s">
        <v>638</v>
      </c>
      <c r="N277" s="203"/>
    </row>
    <row r="278" spans="1:14" s="23" customFormat="1" ht="39.75" customHeight="1" x14ac:dyDescent="0.2">
      <c r="A278" s="487">
        <v>1649</v>
      </c>
      <c r="B278" s="501" t="s">
        <v>626</v>
      </c>
      <c r="C278" s="485">
        <v>2016</v>
      </c>
      <c r="D278" s="99" t="s">
        <v>642</v>
      </c>
      <c r="E278" s="486">
        <v>2018</v>
      </c>
      <c r="F278" s="485" t="s">
        <v>225</v>
      </c>
      <c r="G278" s="92" t="s">
        <v>98</v>
      </c>
      <c r="H278" s="488" t="s">
        <v>16</v>
      </c>
      <c r="I278" s="482">
        <v>156</v>
      </c>
      <c r="J278" s="482">
        <v>2419</v>
      </c>
      <c r="K278" s="95">
        <v>5.6988000000000003</v>
      </c>
      <c r="L278" s="96">
        <f>44990*K278</f>
        <v>256389.01200000002</v>
      </c>
      <c r="M278" s="97" t="s">
        <v>627</v>
      </c>
      <c r="N278" s="203"/>
    </row>
    <row r="279" spans="1:14" s="23" customFormat="1" ht="17.25" customHeight="1" x14ac:dyDescent="0.2">
      <c r="A279" s="527"/>
      <c r="B279" s="530" t="s">
        <v>132</v>
      </c>
      <c r="C279" s="530">
        <v>2009</v>
      </c>
      <c r="D279" s="534" t="s">
        <v>643</v>
      </c>
      <c r="E279" s="534" t="s">
        <v>313</v>
      </c>
      <c r="F279" s="530" t="s">
        <v>410</v>
      </c>
      <c r="G279" s="92" t="s">
        <v>10</v>
      </c>
      <c r="H279" s="517" t="s">
        <v>657</v>
      </c>
      <c r="I279" s="521">
        <v>157</v>
      </c>
      <c r="J279" s="521">
        <v>2420</v>
      </c>
      <c r="K279" s="95">
        <v>358.72</v>
      </c>
      <c r="L279" s="96">
        <f>9000*K279</f>
        <v>3228480.0000000005</v>
      </c>
      <c r="M279" s="97" t="s">
        <v>628</v>
      </c>
      <c r="N279" s="203"/>
    </row>
    <row r="280" spans="1:14" s="23" customFormat="1" ht="22.5" customHeight="1" x14ac:dyDescent="0.2">
      <c r="A280" s="537"/>
      <c r="B280" s="539"/>
      <c r="C280" s="539"/>
      <c r="D280" s="539"/>
      <c r="E280" s="539"/>
      <c r="F280" s="539"/>
      <c r="G280" s="92" t="s">
        <v>68</v>
      </c>
      <c r="H280" s="518"/>
      <c r="I280" s="524"/>
      <c r="J280" s="524"/>
      <c r="K280" s="95">
        <v>358.72</v>
      </c>
      <c r="L280" s="96">
        <f>3800*K280</f>
        <v>1363136</v>
      </c>
      <c r="M280" s="97" t="s">
        <v>646</v>
      </c>
      <c r="N280" s="203"/>
    </row>
    <row r="281" spans="1:14" s="23" customFormat="1" ht="18.75" customHeight="1" x14ac:dyDescent="0.2">
      <c r="A281" s="543">
        <v>1650</v>
      </c>
      <c r="B281" s="544" t="s">
        <v>629</v>
      </c>
      <c r="C281" s="544">
        <v>2011</v>
      </c>
      <c r="D281" s="545" t="s">
        <v>644</v>
      </c>
      <c r="E281" s="545">
        <v>2018</v>
      </c>
      <c r="F281" s="544" t="s">
        <v>410</v>
      </c>
      <c r="G281" s="81" t="s">
        <v>10</v>
      </c>
      <c r="H281" s="547" t="s">
        <v>814</v>
      </c>
      <c r="I281" s="549">
        <v>158</v>
      </c>
      <c r="J281" s="549">
        <v>2421</v>
      </c>
      <c r="K281" s="82">
        <v>358.72</v>
      </c>
      <c r="L281" s="83">
        <f>9000*K281</f>
        <v>3228480.0000000005</v>
      </c>
      <c r="M281" s="65" t="s">
        <v>628</v>
      </c>
      <c r="N281" s="203"/>
    </row>
    <row r="282" spans="1:14" s="23" customFormat="1" ht="25.5" customHeight="1" x14ac:dyDescent="0.2">
      <c r="A282" s="529"/>
      <c r="B282" s="532"/>
      <c r="C282" s="532"/>
      <c r="D282" s="546"/>
      <c r="E282" s="532"/>
      <c r="F282" s="532"/>
      <c r="G282" s="81" t="s">
        <v>647</v>
      </c>
      <c r="H282" s="548"/>
      <c r="I282" s="550"/>
      <c r="J282" s="550"/>
      <c r="K282" s="82">
        <v>358.72</v>
      </c>
      <c r="L282" s="83">
        <f>3800*K282</f>
        <v>1363136</v>
      </c>
      <c r="M282" s="65" t="s">
        <v>646</v>
      </c>
      <c r="N282" s="203"/>
    </row>
    <row r="283" spans="1:14" s="23" customFormat="1" ht="39.75" customHeight="1" x14ac:dyDescent="0.2">
      <c r="A283" s="369"/>
      <c r="B283" s="501" t="s">
        <v>630</v>
      </c>
      <c r="C283" s="370">
        <v>2000</v>
      </c>
      <c r="D283" s="89" t="s">
        <v>631</v>
      </c>
      <c r="E283" s="367" t="s">
        <v>55</v>
      </c>
      <c r="F283" s="370" t="s">
        <v>426</v>
      </c>
      <c r="G283" s="92" t="s">
        <v>133</v>
      </c>
      <c r="H283" s="507" t="s">
        <v>815</v>
      </c>
      <c r="I283" s="368">
        <v>159</v>
      </c>
      <c r="J283" s="368">
        <v>2422</v>
      </c>
      <c r="K283" s="95">
        <v>358.72</v>
      </c>
      <c r="L283" s="96">
        <f>7000*K283</f>
        <v>2511040</v>
      </c>
      <c r="M283" s="97" t="s">
        <v>628</v>
      </c>
      <c r="N283" s="203"/>
    </row>
    <row r="284" spans="1:14" s="23" customFormat="1" ht="64.5" customHeight="1" x14ac:dyDescent="0.2">
      <c r="A284" s="369">
        <v>1651</v>
      </c>
      <c r="B284" s="501" t="s">
        <v>632</v>
      </c>
      <c r="C284" s="370">
        <v>2009</v>
      </c>
      <c r="D284" s="89" t="s">
        <v>633</v>
      </c>
      <c r="E284" s="367">
        <v>2018</v>
      </c>
      <c r="F284" s="370" t="s">
        <v>426</v>
      </c>
      <c r="G284" s="92" t="s">
        <v>689</v>
      </c>
      <c r="H284" s="371" t="s">
        <v>658</v>
      </c>
      <c r="I284" s="368">
        <v>160</v>
      </c>
      <c r="J284" s="368">
        <v>2423</v>
      </c>
      <c r="K284" s="95">
        <v>358.72</v>
      </c>
      <c r="L284" s="96">
        <f>7438*K284</f>
        <v>2668159.3600000003</v>
      </c>
      <c r="M284" s="97" t="s">
        <v>628</v>
      </c>
      <c r="N284" s="203"/>
    </row>
    <row r="285" spans="1:14" s="23" customFormat="1" ht="30" customHeight="1" x14ac:dyDescent="0.2">
      <c r="A285" s="340">
        <v>1652</v>
      </c>
      <c r="B285" s="501" t="s">
        <v>648</v>
      </c>
      <c r="C285" s="339">
        <v>2012</v>
      </c>
      <c r="D285" s="89" t="s">
        <v>649</v>
      </c>
      <c r="E285" s="341">
        <v>2018</v>
      </c>
      <c r="F285" s="339" t="s">
        <v>530</v>
      </c>
      <c r="G285" s="92" t="s">
        <v>656</v>
      </c>
      <c r="H285" s="342" t="s">
        <v>16</v>
      </c>
      <c r="I285" s="338">
        <v>161</v>
      </c>
      <c r="J285" s="338">
        <v>2424</v>
      </c>
      <c r="K285" s="95">
        <v>5.6708999999999996</v>
      </c>
      <c r="L285" s="96">
        <f>273400*K285</f>
        <v>1550424.0599999998</v>
      </c>
      <c r="M285" s="97" t="s">
        <v>646</v>
      </c>
      <c r="N285" s="203"/>
    </row>
    <row r="286" spans="1:14" s="23" customFormat="1" ht="39.75" customHeight="1" x14ac:dyDescent="0.2">
      <c r="A286" s="440">
        <v>1653</v>
      </c>
      <c r="B286" s="501" t="s">
        <v>650</v>
      </c>
      <c r="C286" s="437">
        <v>2016</v>
      </c>
      <c r="D286" s="89" t="s">
        <v>651</v>
      </c>
      <c r="E286" s="436">
        <v>2018</v>
      </c>
      <c r="F286" s="437" t="s">
        <v>103</v>
      </c>
      <c r="G286" s="92" t="s">
        <v>776</v>
      </c>
      <c r="H286" s="441" t="s">
        <v>16</v>
      </c>
      <c r="I286" s="442">
        <v>162</v>
      </c>
      <c r="J286" s="442">
        <v>2425</v>
      </c>
      <c r="K286" s="95">
        <v>358.72</v>
      </c>
      <c r="L286" s="96">
        <f>10000*K286</f>
        <v>3587200.0000000005</v>
      </c>
      <c r="M286" s="97" t="s">
        <v>652</v>
      </c>
      <c r="N286" s="203"/>
    </row>
    <row r="287" spans="1:14" s="23" customFormat="1" ht="65.25" customHeight="1" x14ac:dyDescent="0.2">
      <c r="A287" s="350">
        <v>1654</v>
      </c>
      <c r="B287" s="501" t="s">
        <v>653</v>
      </c>
      <c r="C287" s="351">
        <v>2017</v>
      </c>
      <c r="D287" s="89" t="s">
        <v>654</v>
      </c>
      <c r="E287" s="348">
        <v>2018</v>
      </c>
      <c r="F287" s="360" t="s">
        <v>38</v>
      </c>
      <c r="G287" s="92" t="s">
        <v>14</v>
      </c>
      <c r="H287" s="352" t="s">
        <v>64</v>
      </c>
      <c r="I287" s="349">
        <v>163</v>
      </c>
      <c r="J287" s="349">
        <v>2426</v>
      </c>
      <c r="K287" s="95">
        <v>366.69</v>
      </c>
      <c r="L287" s="96">
        <f>5000*K287</f>
        <v>1833450</v>
      </c>
      <c r="M287" s="97" t="s">
        <v>655</v>
      </c>
      <c r="N287" s="203"/>
    </row>
    <row r="288" spans="1:14" s="23" customFormat="1" ht="30" customHeight="1" x14ac:dyDescent="0.2">
      <c r="A288" s="527">
        <v>1655</v>
      </c>
      <c r="B288" s="530" t="s">
        <v>661</v>
      </c>
      <c r="C288" s="530">
        <v>2012</v>
      </c>
      <c r="D288" s="533" t="s">
        <v>662</v>
      </c>
      <c r="E288" s="534">
        <v>2018</v>
      </c>
      <c r="F288" s="530" t="s">
        <v>410</v>
      </c>
      <c r="G288" s="92" t="s">
        <v>10</v>
      </c>
      <c r="H288" s="517" t="s">
        <v>664</v>
      </c>
      <c r="I288" s="521">
        <v>164</v>
      </c>
      <c r="J288" s="521">
        <v>2427</v>
      </c>
      <c r="K288" s="95">
        <v>358.72</v>
      </c>
      <c r="L288" s="96">
        <f>9000*K288</f>
        <v>3228480.0000000005</v>
      </c>
      <c r="M288" s="97" t="s">
        <v>663</v>
      </c>
      <c r="N288" s="203"/>
    </row>
    <row r="289" spans="1:14" s="23" customFormat="1" ht="33.75" customHeight="1" x14ac:dyDescent="0.2">
      <c r="A289" s="528"/>
      <c r="B289" s="531"/>
      <c r="C289" s="531"/>
      <c r="D289" s="531"/>
      <c r="E289" s="531"/>
      <c r="F289" s="531"/>
      <c r="G289" s="92" t="s">
        <v>768</v>
      </c>
      <c r="H289" s="535"/>
      <c r="I289" s="525"/>
      <c r="J289" s="525"/>
      <c r="K289" s="95">
        <v>358.72</v>
      </c>
      <c r="L289" s="96">
        <f>6800*K289</f>
        <v>2439296</v>
      </c>
      <c r="M289" s="97" t="s">
        <v>666</v>
      </c>
      <c r="N289" s="203"/>
    </row>
    <row r="290" spans="1:14" s="23" customFormat="1" ht="40.5" customHeight="1" x14ac:dyDescent="0.2">
      <c r="A290" s="529"/>
      <c r="B290" s="532"/>
      <c r="C290" s="532"/>
      <c r="D290" s="532"/>
      <c r="E290" s="532"/>
      <c r="F290" s="532"/>
      <c r="G290" s="92" t="s">
        <v>153</v>
      </c>
      <c r="H290" s="518"/>
      <c r="I290" s="524"/>
      <c r="J290" s="524"/>
      <c r="K290" s="95">
        <v>358.72</v>
      </c>
      <c r="L290" s="96">
        <f>3000*K290</f>
        <v>1076160</v>
      </c>
      <c r="M290" s="97" t="s">
        <v>769</v>
      </c>
      <c r="N290" s="203"/>
    </row>
    <row r="291" spans="1:14" s="23" customFormat="1" ht="51" customHeight="1" x14ac:dyDescent="0.2">
      <c r="A291" s="362">
        <v>1656</v>
      </c>
      <c r="B291" s="501" t="s">
        <v>669</v>
      </c>
      <c r="C291" s="400">
        <v>2015</v>
      </c>
      <c r="D291" s="259" t="s">
        <v>670</v>
      </c>
      <c r="E291" s="361">
        <v>2018</v>
      </c>
      <c r="F291" s="361" t="s">
        <v>151</v>
      </c>
      <c r="G291" s="92" t="s">
        <v>671</v>
      </c>
      <c r="H291" s="365" t="s">
        <v>16</v>
      </c>
      <c r="I291" s="366">
        <v>165</v>
      </c>
      <c r="J291" s="366">
        <v>2428</v>
      </c>
      <c r="K291" s="95">
        <v>5.6132999999999997</v>
      </c>
      <c r="L291" s="96">
        <f>124865*K291</f>
        <v>700904.70449999999</v>
      </c>
      <c r="M291" s="97" t="s">
        <v>672</v>
      </c>
      <c r="N291" s="203"/>
    </row>
    <row r="292" spans="1:14" s="23" customFormat="1" ht="66" customHeight="1" x14ac:dyDescent="0.2">
      <c r="A292" s="362"/>
      <c r="B292" s="501" t="s">
        <v>478</v>
      </c>
      <c r="C292" s="400">
        <v>2013</v>
      </c>
      <c r="D292" s="259" t="s">
        <v>479</v>
      </c>
      <c r="E292" s="361" t="s">
        <v>47</v>
      </c>
      <c r="F292" s="361" t="s">
        <v>151</v>
      </c>
      <c r="G292" s="92" t="s">
        <v>665</v>
      </c>
      <c r="H292" s="365" t="s">
        <v>16</v>
      </c>
      <c r="I292" s="366"/>
      <c r="J292" s="366"/>
      <c r="K292" s="95">
        <v>5.6132999999999997</v>
      </c>
      <c r="L292" s="96">
        <f>223750*K292</f>
        <v>1255975.875</v>
      </c>
      <c r="M292" s="97" t="s">
        <v>672</v>
      </c>
      <c r="N292" s="373"/>
    </row>
    <row r="293" spans="1:14" s="23" customFormat="1" ht="54" customHeight="1" x14ac:dyDescent="0.2">
      <c r="A293" s="362"/>
      <c r="B293" s="501" t="s">
        <v>673</v>
      </c>
      <c r="C293" s="400">
        <v>2011</v>
      </c>
      <c r="D293" s="259" t="s">
        <v>674</v>
      </c>
      <c r="E293" s="361" t="s">
        <v>204</v>
      </c>
      <c r="F293" s="361" t="s">
        <v>151</v>
      </c>
      <c r="G293" s="92" t="s">
        <v>675</v>
      </c>
      <c r="H293" s="365" t="s">
        <v>16</v>
      </c>
      <c r="I293" s="366">
        <v>166</v>
      </c>
      <c r="J293" s="366">
        <v>2429</v>
      </c>
      <c r="K293" s="95">
        <v>5.6132999999999997</v>
      </c>
      <c r="L293" s="96">
        <f>88933*K293</f>
        <v>499207.60889999999</v>
      </c>
      <c r="M293" s="97" t="s">
        <v>672</v>
      </c>
      <c r="N293" s="373"/>
    </row>
    <row r="294" spans="1:14" s="23" customFormat="1" ht="54.75" customHeight="1" x14ac:dyDescent="0.2">
      <c r="A294" s="362">
        <v>1657</v>
      </c>
      <c r="B294" s="501" t="s">
        <v>676</v>
      </c>
      <c r="C294" s="400">
        <v>2003</v>
      </c>
      <c r="D294" s="259" t="s">
        <v>670</v>
      </c>
      <c r="E294" s="361">
        <v>2018</v>
      </c>
      <c r="F294" s="361" t="s">
        <v>151</v>
      </c>
      <c r="G294" s="92" t="s">
        <v>677</v>
      </c>
      <c r="H294" s="365" t="s">
        <v>16</v>
      </c>
      <c r="I294" s="366">
        <v>167</v>
      </c>
      <c r="J294" s="366">
        <v>2430</v>
      </c>
      <c r="K294" s="95">
        <v>5.6132999999999997</v>
      </c>
      <c r="L294" s="96">
        <f>170675*K294</f>
        <v>958049.97749999992</v>
      </c>
      <c r="M294" s="97" t="s">
        <v>672</v>
      </c>
      <c r="N294" s="373"/>
    </row>
    <row r="295" spans="1:14" s="23" customFormat="1" ht="65.25" customHeight="1" x14ac:dyDescent="0.2">
      <c r="A295" s="419">
        <v>1658</v>
      </c>
      <c r="B295" s="501" t="s">
        <v>679</v>
      </c>
      <c r="C295" s="421">
        <v>2009</v>
      </c>
      <c r="D295" s="259" t="s">
        <v>680</v>
      </c>
      <c r="E295" s="420">
        <v>2018</v>
      </c>
      <c r="F295" s="424" t="s">
        <v>200</v>
      </c>
      <c r="G295" s="92" t="s">
        <v>788</v>
      </c>
      <c r="H295" s="422" t="s">
        <v>16</v>
      </c>
      <c r="I295" s="423">
        <v>168</v>
      </c>
      <c r="J295" s="423">
        <v>2431</v>
      </c>
      <c r="K295" s="95">
        <v>5.6151999999999997</v>
      </c>
      <c r="L295" s="96">
        <f>133300.45*K295</f>
        <v>748508.68683999998</v>
      </c>
      <c r="M295" s="97" t="s">
        <v>678</v>
      </c>
      <c r="N295" s="373"/>
    </row>
    <row r="296" spans="1:14" s="23" customFormat="1" ht="55.5" customHeight="1" x14ac:dyDescent="0.2">
      <c r="A296" s="536">
        <v>1659</v>
      </c>
      <c r="B296" s="530" t="s">
        <v>667</v>
      </c>
      <c r="C296" s="530">
        <v>2002</v>
      </c>
      <c r="D296" s="541" t="s">
        <v>668</v>
      </c>
      <c r="E296" s="534">
        <v>2018</v>
      </c>
      <c r="F296" s="534" t="s">
        <v>38</v>
      </c>
      <c r="G296" s="92" t="s">
        <v>10</v>
      </c>
      <c r="H296" s="540" t="s">
        <v>64</v>
      </c>
      <c r="I296" s="526">
        <v>169</v>
      </c>
      <c r="J296" s="526">
        <v>2432</v>
      </c>
      <c r="K296" s="95">
        <v>377.5</v>
      </c>
      <c r="L296" s="96">
        <f>9000*K296</f>
        <v>3397500</v>
      </c>
      <c r="M296" s="97" t="s">
        <v>681</v>
      </c>
      <c r="N296" s="203"/>
    </row>
    <row r="297" spans="1:14" s="23" customFormat="1" ht="48" customHeight="1" x14ac:dyDescent="0.2">
      <c r="A297" s="537"/>
      <c r="B297" s="538"/>
      <c r="C297" s="538"/>
      <c r="D297" s="542"/>
      <c r="E297" s="539"/>
      <c r="F297" s="539"/>
      <c r="G297" s="92" t="s">
        <v>116</v>
      </c>
      <c r="H297" s="518"/>
      <c r="I297" s="524"/>
      <c r="J297" s="524"/>
      <c r="K297" s="95">
        <v>372</v>
      </c>
      <c r="L297" s="96">
        <f>2000*K297</f>
        <v>744000</v>
      </c>
      <c r="M297" s="97" t="s">
        <v>682</v>
      </c>
      <c r="N297" s="203"/>
    </row>
    <row r="298" spans="1:14" s="23" customFormat="1" ht="67.5" customHeight="1" x14ac:dyDescent="0.2">
      <c r="A298" s="78"/>
      <c r="B298" s="504" t="s">
        <v>683</v>
      </c>
      <c r="C298" s="405">
        <v>2004</v>
      </c>
      <c r="D298" s="113" t="s">
        <v>684</v>
      </c>
      <c r="E298" s="358" t="s">
        <v>55</v>
      </c>
      <c r="F298" s="358" t="s">
        <v>685</v>
      </c>
      <c r="G298" s="81" t="s">
        <v>686</v>
      </c>
      <c r="H298" s="372" t="s">
        <v>16</v>
      </c>
      <c r="I298" s="77">
        <v>170</v>
      </c>
      <c r="J298" s="77">
        <v>2433</v>
      </c>
      <c r="K298" s="82">
        <v>5.5895000000000001</v>
      </c>
      <c r="L298" s="83">
        <f>431630*K298</f>
        <v>2412595.8850000002</v>
      </c>
      <c r="M298" s="65" t="s">
        <v>682</v>
      </c>
      <c r="N298" s="203"/>
    </row>
    <row r="299" spans="1:14" s="23" customFormat="1" ht="63.75" customHeight="1" x14ac:dyDescent="0.2">
      <c r="A299" s="495"/>
      <c r="B299" s="501" t="s">
        <v>357</v>
      </c>
      <c r="C299" s="496">
        <v>2014</v>
      </c>
      <c r="D299" s="498" t="s">
        <v>358</v>
      </c>
      <c r="E299" s="497" t="s">
        <v>47</v>
      </c>
      <c r="F299" s="497" t="s">
        <v>200</v>
      </c>
      <c r="G299" s="92" t="s">
        <v>790</v>
      </c>
      <c r="H299" s="493" t="s">
        <v>16</v>
      </c>
      <c r="I299" s="494"/>
      <c r="J299" s="494"/>
      <c r="K299" s="95">
        <v>5.53</v>
      </c>
      <c r="L299" s="96">
        <f>52704.82*K299</f>
        <v>291457.65460000001</v>
      </c>
      <c r="M299" s="97" t="s">
        <v>791</v>
      </c>
      <c r="N299" s="203"/>
    </row>
    <row r="300" spans="1:14" s="23" customFormat="1" ht="65.25" customHeight="1" x14ac:dyDescent="0.2">
      <c r="A300" s="495"/>
      <c r="B300" s="501" t="s">
        <v>792</v>
      </c>
      <c r="C300" s="496">
        <v>2014</v>
      </c>
      <c r="D300" s="204" t="s">
        <v>793</v>
      </c>
      <c r="E300" s="497" t="s">
        <v>55</v>
      </c>
      <c r="F300" s="497" t="s">
        <v>200</v>
      </c>
      <c r="G300" s="92" t="s">
        <v>794</v>
      </c>
      <c r="H300" s="493" t="s">
        <v>16</v>
      </c>
      <c r="I300" s="494">
        <v>171</v>
      </c>
      <c r="J300" s="494">
        <v>2434</v>
      </c>
      <c r="K300" s="95">
        <v>5.58</v>
      </c>
      <c r="L300" s="96">
        <f>161181.64*K300</f>
        <v>899393.5512000001</v>
      </c>
      <c r="M300" s="97" t="s">
        <v>694</v>
      </c>
      <c r="N300" s="203"/>
    </row>
    <row r="301" spans="1:14" s="23" customFormat="1" ht="54" customHeight="1" x14ac:dyDescent="0.2">
      <c r="A301" s="406"/>
      <c r="B301" s="501" t="s">
        <v>691</v>
      </c>
      <c r="C301" s="411">
        <v>2017</v>
      </c>
      <c r="D301" s="408" t="s">
        <v>692</v>
      </c>
      <c r="E301" s="407" t="s">
        <v>55</v>
      </c>
      <c r="F301" s="418" t="s">
        <v>38</v>
      </c>
      <c r="G301" s="92" t="s">
        <v>693</v>
      </c>
      <c r="H301" s="410" t="s">
        <v>16</v>
      </c>
      <c r="I301" s="409">
        <v>172</v>
      </c>
      <c r="J301" s="409">
        <v>2435</v>
      </c>
      <c r="K301" s="95">
        <v>358.72</v>
      </c>
      <c r="L301" s="96">
        <f>1700*K301</f>
        <v>609824</v>
      </c>
      <c r="M301" s="97" t="s">
        <v>694</v>
      </c>
      <c r="N301" s="203"/>
    </row>
    <row r="302" spans="1:14" s="23" customFormat="1" ht="41.25" customHeight="1" x14ac:dyDescent="0.2">
      <c r="A302" s="385"/>
      <c r="B302" s="504" t="s">
        <v>695</v>
      </c>
      <c r="C302" s="405">
        <v>2010</v>
      </c>
      <c r="D302" s="380" t="s">
        <v>353</v>
      </c>
      <c r="E302" s="384" t="s">
        <v>204</v>
      </c>
      <c r="F302" s="384" t="s">
        <v>451</v>
      </c>
      <c r="G302" s="81" t="s">
        <v>696</v>
      </c>
      <c r="H302" s="386" t="s">
        <v>256</v>
      </c>
      <c r="I302" s="387">
        <v>173</v>
      </c>
      <c r="J302" s="387">
        <v>2436</v>
      </c>
      <c r="K302" s="82">
        <v>5.6608000000000001</v>
      </c>
      <c r="L302" s="83">
        <f>36350*K302</f>
        <v>205770.08000000002</v>
      </c>
      <c r="M302" s="65" t="s">
        <v>697</v>
      </c>
      <c r="N302" s="203"/>
    </row>
    <row r="303" spans="1:14" s="23" customFormat="1" ht="40.5" customHeight="1" x14ac:dyDescent="0.2">
      <c r="A303" s="452"/>
      <c r="B303" s="501" t="s">
        <v>326</v>
      </c>
      <c r="C303" s="453">
        <v>2014</v>
      </c>
      <c r="D303" s="454" t="s">
        <v>327</v>
      </c>
      <c r="E303" s="455" t="s">
        <v>313</v>
      </c>
      <c r="F303" s="455" t="s">
        <v>698</v>
      </c>
      <c r="G303" s="92" t="s">
        <v>699</v>
      </c>
      <c r="H303" s="456" t="s">
        <v>16</v>
      </c>
      <c r="I303" s="457">
        <v>174</v>
      </c>
      <c r="J303" s="457">
        <v>2437</v>
      </c>
      <c r="K303" s="95">
        <v>5.7115999999999998</v>
      </c>
      <c r="L303" s="96">
        <f>63600*K303</f>
        <v>363257.76</v>
      </c>
      <c r="M303" s="97" t="s">
        <v>697</v>
      </c>
      <c r="N303" s="203"/>
    </row>
    <row r="304" spans="1:14" s="23" customFormat="1" ht="28.5" customHeight="1" x14ac:dyDescent="0.2">
      <c r="A304" s="375"/>
      <c r="B304" s="501" t="s">
        <v>614</v>
      </c>
      <c r="C304" s="400">
        <v>2011</v>
      </c>
      <c r="D304" s="378" t="s">
        <v>615</v>
      </c>
      <c r="E304" s="376" t="s">
        <v>47</v>
      </c>
      <c r="F304" s="376" t="s">
        <v>166</v>
      </c>
      <c r="G304" s="92" t="s">
        <v>700</v>
      </c>
      <c r="H304" s="382" t="s">
        <v>16</v>
      </c>
      <c r="I304" s="379"/>
      <c r="J304" s="379"/>
      <c r="K304" s="95">
        <v>5.7115999999999998</v>
      </c>
      <c r="L304" s="96">
        <f>65280*K304</f>
        <v>372853.24799999996</v>
      </c>
      <c r="M304" s="97" t="s">
        <v>697</v>
      </c>
      <c r="N304" s="203"/>
    </row>
    <row r="305" spans="1:14" s="23" customFormat="1" ht="27.75" customHeight="1" x14ac:dyDescent="0.2">
      <c r="A305" s="375"/>
      <c r="B305" s="501" t="s">
        <v>619</v>
      </c>
      <c r="C305" s="400">
        <v>2016</v>
      </c>
      <c r="D305" s="378" t="s">
        <v>618</v>
      </c>
      <c r="E305" s="376" t="s">
        <v>47</v>
      </c>
      <c r="F305" s="376" t="s">
        <v>166</v>
      </c>
      <c r="G305" s="92" t="s">
        <v>701</v>
      </c>
      <c r="H305" s="382" t="s">
        <v>16</v>
      </c>
      <c r="I305" s="379"/>
      <c r="J305" s="379"/>
      <c r="K305" s="95">
        <v>5.7115999999999998</v>
      </c>
      <c r="L305" s="96">
        <f>40420*K305</f>
        <v>230862.872</v>
      </c>
      <c r="M305" s="97" t="s">
        <v>697</v>
      </c>
      <c r="N305" s="203"/>
    </row>
    <row r="306" spans="1:14" s="23" customFormat="1" ht="26.25" customHeight="1" x14ac:dyDescent="0.2">
      <c r="A306" s="484">
        <v>1660</v>
      </c>
      <c r="B306" s="501" t="s">
        <v>702</v>
      </c>
      <c r="C306" s="485">
        <v>2016</v>
      </c>
      <c r="D306" s="259" t="s">
        <v>703</v>
      </c>
      <c r="E306" s="486">
        <v>2018</v>
      </c>
      <c r="F306" s="486" t="s">
        <v>166</v>
      </c>
      <c r="G306" s="92" t="s">
        <v>789</v>
      </c>
      <c r="H306" s="481" t="s">
        <v>16</v>
      </c>
      <c r="I306" s="483">
        <v>175</v>
      </c>
      <c r="J306" s="483">
        <v>2438</v>
      </c>
      <c r="K306" s="95">
        <v>5.6414999999999997</v>
      </c>
      <c r="L306" s="96">
        <f>222950*K306</f>
        <v>1257772.425</v>
      </c>
      <c r="M306" s="97" t="s">
        <v>704</v>
      </c>
      <c r="N306" s="203"/>
    </row>
    <row r="307" spans="1:14" s="23" customFormat="1" ht="27.75" customHeight="1" x14ac:dyDescent="0.2">
      <c r="A307" s="444"/>
      <c r="B307" s="501" t="s">
        <v>777</v>
      </c>
      <c r="C307" s="445">
        <v>2005</v>
      </c>
      <c r="D307" s="215" t="s">
        <v>353</v>
      </c>
      <c r="E307" s="446" t="s">
        <v>71</v>
      </c>
      <c r="F307" s="446" t="s">
        <v>778</v>
      </c>
      <c r="G307" s="92" t="s">
        <v>779</v>
      </c>
      <c r="H307" s="447" t="s">
        <v>256</v>
      </c>
      <c r="I307" s="443"/>
      <c r="J307" s="443"/>
      <c r="K307" s="95"/>
      <c r="L307" s="96">
        <v>380500</v>
      </c>
      <c r="M307" s="97" t="s">
        <v>780</v>
      </c>
      <c r="N307" s="203"/>
    </row>
    <row r="308" spans="1:14" s="23" customFormat="1" ht="115.5" customHeight="1" x14ac:dyDescent="0.2">
      <c r="A308" s="402"/>
      <c r="B308" s="501" t="s">
        <v>705</v>
      </c>
      <c r="C308" s="400">
        <v>2013</v>
      </c>
      <c r="D308" s="215" t="s">
        <v>706</v>
      </c>
      <c r="E308" s="401" t="s">
        <v>313</v>
      </c>
      <c r="F308" s="401" t="s">
        <v>335</v>
      </c>
      <c r="G308" s="92" t="s">
        <v>707</v>
      </c>
      <c r="H308" s="404" t="s">
        <v>64</v>
      </c>
      <c r="I308" s="403">
        <v>176</v>
      </c>
      <c r="J308" s="403">
        <v>2439</v>
      </c>
      <c r="K308" s="95">
        <v>423.17</v>
      </c>
      <c r="L308" s="96">
        <f>3339.64*K308</f>
        <v>1413235.4587999999</v>
      </c>
      <c r="M308" s="97" t="s">
        <v>708</v>
      </c>
      <c r="N308" s="203"/>
    </row>
    <row r="309" spans="1:14" s="23" customFormat="1" ht="40.5" customHeight="1" x14ac:dyDescent="0.2">
      <c r="A309" s="402"/>
      <c r="B309" s="501" t="s">
        <v>359</v>
      </c>
      <c r="C309" s="400">
        <v>2014</v>
      </c>
      <c r="D309" s="215" t="s">
        <v>105</v>
      </c>
      <c r="E309" s="401" t="s">
        <v>51</v>
      </c>
      <c r="F309" s="401" t="s">
        <v>106</v>
      </c>
      <c r="G309" s="92" t="s">
        <v>709</v>
      </c>
      <c r="H309" s="404" t="s">
        <v>16</v>
      </c>
      <c r="I309" s="403">
        <v>177</v>
      </c>
      <c r="J309" s="403">
        <v>2440</v>
      </c>
      <c r="K309" s="95">
        <v>5.6558000000000002</v>
      </c>
      <c r="L309" s="96">
        <f>114223.41*K309</f>
        <v>646024.76227800001</v>
      </c>
      <c r="M309" s="97" t="s">
        <v>708</v>
      </c>
      <c r="N309" s="203"/>
    </row>
    <row r="310" spans="1:14" s="23" customFormat="1" ht="40.5" customHeight="1" x14ac:dyDescent="0.2">
      <c r="A310" s="402">
        <v>1661</v>
      </c>
      <c r="B310" s="501" t="s">
        <v>710</v>
      </c>
      <c r="C310" s="400">
        <v>2008</v>
      </c>
      <c r="D310" s="215" t="s">
        <v>105</v>
      </c>
      <c r="E310" s="401">
        <v>2018</v>
      </c>
      <c r="F310" s="401" t="s">
        <v>106</v>
      </c>
      <c r="G310" s="92" t="s">
        <v>711</v>
      </c>
      <c r="H310" s="404" t="s">
        <v>16</v>
      </c>
      <c r="I310" s="403">
        <v>178</v>
      </c>
      <c r="J310" s="403">
        <v>2441</v>
      </c>
      <c r="K310" s="95">
        <v>5.6551</v>
      </c>
      <c r="L310" s="96">
        <f>104276.83*K310</f>
        <v>589695.90133300005</v>
      </c>
      <c r="M310" s="97" t="s">
        <v>708</v>
      </c>
      <c r="N310" s="203"/>
    </row>
    <row r="311" spans="1:14" s="23" customFormat="1" ht="40.5" customHeight="1" x14ac:dyDescent="0.2">
      <c r="A311" s="402">
        <v>1662</v>
      </c>
      <c r="B311" s="501" t="s">
        <v>712</v>
      </c>
      <c r="C311" s="400">
        <v>2018</v>
      </c>
      <c r="D311" s="215" t="s">
        <v>105</v>
      </c>
      <c r="E311" s="401">
        <v>2018</v>
      </c>
      <c r="F311" s="401" t="s">
        <v>106</v>
      </c>
      <c r="G311" s="92" t="s">
        <v>713</v>
      </c>
      <c r="H311" s="404" t="s">
        <v>16</v>
      </c>
      <c r="I311" s="403">
        <v>179</v>
      </c>
      <c r="J311" s="403">
        <v>2442</v>
      </c>
      <c r="K311" s="95">
        <v>5.6531000000000002</v>
      </c>
      <c r="L311" s="96">
        <f>123004.83*K311</f>
        <v>695358.60447300004</v>
      </c>
      <c r="M311" s="97" t="s">
        <v>708</v>
      </c>
      <c r="N311" s="203"/>
    </row>
    <row r="312" spans="1:14" s="23" customFormat="1" ht="20.25" customHeight="1" x14ac:dyDescent="0.2">
      <c r="A312" s="536"/>
      <c r="B312" s="530" t="s">
        <v>595</v>
      </c>
      <c r="C312" s="530">
        <v>2017</v>
      </c>
      <c r="D312" s="541" t="s">
        <v>105</v>
      </c>
      <c r="E312" s="534" t="s">
        <v>55</v>
      </c>
      <c r="F312" s="534" t="s">
        <v>106</v>
      </c>
      <c r="G312" s="92" t="s">
        <v>714</v>
      </c>
      <c r="H312" s="540" t="s">
        <v>782</v>
      </c>
      <c r="I312" s="526">
        <v>180</v>
      </c>
      <c r="J312" s="526">
        <v>2443</v>
      </c>
      <c r="K312" s="95">
        <v>5.6521999999999997</v>
      </c>
      <c r="L312" s="96">
        <f>121798.83*K312</f>
        <v>688431.34692599997</v>
      </c>
      <c r="M312" s="97" t="s">
        <v>708</v>
      </c>
      <c r="N312" s="203"/>
    </row>
    <row r="313" spans="1:14" s="23" customFormat="1" ht="57" customHeight="1" x14ac:dyDescent="0.2">
      <c r="A313" s="537"/>
      <c r="B313" s="539"/>
      <c r="C313" s="538"/>
      <c r="D313" s="542"/>
      <c r="E313" s="539"/>
      <c r="F313" s="539"/>
      <c r="G313" s="92" t="s">
        <v>722</v>
      </c>
      <c r="H313" s="518"/>
      <c r="I313" s="524"/>
      <c r="J313" s="524"/>
      <c r="K313" s="95">
        <v>5.6136999999999997</v>
      </c>
      <c r="L313" s="96">
        <f>119517.83*K313</f>
        <v>670937.24227099994</v>
      </c>
      <c r="M313" s="97" t="s">
        <v>723</v>
      </c>
      <c r="N313" s="203"/>
    </row>
    <row r="314" spans="1:14" s="23" customFormat="1" ht="16.5" customHeight="1" x14ac:dyDescent="0.2">
      <c r="A314" s="536">
        <v>1663</v>
      </c>
      <c r="B314" s="530" t="s">
        <v>715</v>
      </c>
      <c r="C314" s="530">
        <v>2007</v>
      </c>
      <c r="D314" s="533" t="s">
        <v>716</v>
      </c>
      <c r="E314" s="534">
        <v>2018</v>
      </c>
      <c r="F314" s="534" t="s">
        <v>717</v>
      </c>
      <c r="G314" s="92" t="s">
        <v>10</v>
      </c>
      <c r="H314" s="540" t="s">
        <v>728</v>
      </c>
      <c r="I314" s="526">
        <v>181</v>
      </c>
      <c r="J314" s="526">
        <v>2444</v>
      </c>
      <c r="K314" s="95">
        <v>358.72</v>
      </c>
      <c r="L314" s="96">
        <f>9000*K314</f>
        <v>3228480.0000000005</v>
      </c>
      <c r="M314" s="97" t="s">
        <v>708</v>
      </c>
      <c r="N314" s="203"/>
    </row>
    <row r="315" spans="1:14" s="23" customFormat="1" ht="19.5" customHeight="1" x14ac:dyDescent="0.2">
      <c r="A315" s="528"/>
      <c r="B315" s="554"/>
      <c r="C315" s="554"/>
      <c r="D315" s="555"/>
      <c r="E315" s="531"/>
      <c r="F315" s="531"/>
      <c r="G315" s="92" t="s">
        <v>10</v>
      </c>
      <c r="H315" s="535"/>
      <c r="I315" s="525"/>
      <c r="J315" s="525"/>
      <c r="K315" s="95">
        <v>358.72</v>
      </c>
      <c r="L315" s="96">
        <f>9000*K315</f>
        <v>3228480.0000000005</v>
      </c>
      <c r="M315" s="97" t="s">
        <v>718</v>
      </c>
      <c r="N315" s="203"/>
    </row>
    <row r="316" spans="1:14" s="23" customFormat="1" ht="19.5" customHeight="1" x14ac:dyDescent="0.2">
      <c r="A316" s="537"/>
      <c r="B316" s="538"/>
      <c r="C316" s="538"/>
      <c r="D316" s="542"/>
      <c r="E316" s="539"/>
      <c r="F316" s="539"/>
      <c r="G316" s="92" t="s">
        <v>10</v>
      </c>
      <c r="H316" s="518"/>
      <c r="I316" s="524"/>
      <c r="J316" s="524"/>
      <c r="K316" s="95">
        <v>358.72</v>
      </c>
      <c r="L316" s="96">
        <f>9000*K316</f>
        <v>3228480.0000000005</v>
      </c>
      <c r="M316" s="97" t="s">
        <v>719</v>
      </c>
      <c r="N316" s="203"/>
    </row>
    <row r="317" spans="1:14" s="23" customFormat="1" ht="38.25" customHeight="1" x14ac:dyDescent="0.2">
      <c r="A317" s="435"/>
      <c r="B317" s="501" t="s">
        <v>550</v>
      </c>
      <c r="C317" s="437">
        <v>2016</v>
      </c>
      <c r="D317" s="215" t="s">
        <v>551</v>
      </c>
      <c r="E317" s="436" t="s">
        <v>47</v>
      </c>
      <c r="F317" s="436" t="s">
        <v>426</v>
      </c>
      <c r="G317" s="92" t="s">
        <v>720</v>
      </c>
      <c r="H317" s="438" t="s">
        <v>16</v>
      </c>
      <c r="I317" s="439"/>
      <c r="J317" s="439"/>
      <c r="K317" s="95">
        <v>358.72</v>
      </c>
      <c r="L317" s="96">
        <f>9800*K317</f>
        <v>3515456.0000000005</v>
      </c>
      <c r="M317" s="97" t="s">
        <v>718</v>
      </c>
      <c r="N317" s="203"/>
    </row>
    <row r="318" spans="1:14" s="23" customFormat="1" ht="40.5" customHeight="1" x14ac:dyDescent="0.2">
      <c r="A318" s="402"/>
      <c r="B318" s="501" t="s">
        <v>721</v>
      </c>
      <c r="C318" s="400">
        <v>2012</v>
      </c>
      <c r="D318" s="259" t="s">
        <v>270</v>
      </c>
      <c r="E318" s="401" t="s">
        <v>51</v>
      </c>
      <c r="F318" s="99" t="s">
        <v>106</v>
      </c>
      <c r="G318" s="92" t="s">
        <v>724</v>
      </c>
      <c r="H318" s="404" t="s">
        <v>16</v>
      </c>
      <c r="I318" s="403">
        <v>182</v>
      </c>
      <c r="J318" s="403">
        <v>2445</v>
      </c>
      <c r="K318" s="95">
        <v>5.6124999999999998</v>
      </c>
      <c r="L318" s="96">
        <f>112737.41*K318</f>
        <v>632738.71362499997</v>
      </c>
      <c r="M318" s="97" t="s">
        <v>723</v>
      </c>
      <c r="N318" s="203"/>
    </row>
    <row r="319" spans="1:14" s="23" customFormat="1" ht="64.5" customHeight="1" x14ac:dyDescent="0.2">
      <c r="A319" s="396">
        <v>1664</v>
      </c>
      <c r="B319" s="504" t="s">
        <v>725</v>
      </c>
      <c r="C319" s="405">
        <v>2014</v>
      </c>
      <c r="D319" s="113" t="s">
        <v>796</v>
      </c>
      <c r="E319" s="397">
        <v>2018</v>
      </c>
      <c r="F319" s="397" t="s">
        <v>426</v>
      </c>
      <c r="G319" s="81" t="s">
        <v>726</v>
      </c>
      <c r="H319" s="398" t="s">
        <v>16</v>
      </c>
      <c r="I319" s="399">
        <v>183</v>
      </c>
      <c r="J319" s="399">
        <v>2446</v>
      </c>
      <c r="K319" s="82">
        <v>358.72</v>
      </c>
      <c r="L319" s="83">
        <f>5300*K319</f>
        <v>1901216.0000000002</v>
      </c>
      <c r="M319" s="65" t="s">
        <v>723</v>
      </c>
      <c r="N319" s="203"/>
    </row>
    <row r="320" spans="1:14" s="23" customFormat="1" ht="76.5" customHeight="1" x14ac:dyDescent="0.2">
      <c r="A320" s="484">
        <v>1665</v>
      </c>
      <c r="B320" s="501" t="s">
        <v>730</v>
      </c>
      <c r="C320" s="485">
        <v>2014</v>
      </c>
      <c r="D320" s="123" t="s">
        <v>731</v>
      </c>
      <c r="E320" s="486">
        <v>2018</v>
      </c>
      <c r="F320" s="486" t="s">
        <v>38</v>
      </c>
      <c r="G320" s="92" t="s">
        <v>139</v>
      </c>
      <c r="H320" s="481" t="s">
        <v>64</v>
      </c>
      <c r="I320" s="483">
        <v>184</v>
      </c>
      <c r="J320" s="483">
        <v>2447</v>
      </c>
      <c r="K320" s="95">
        <v>371</v>
      </c>
      <c r="L320" s="96">
        <f>6000*K320</f>
        <v>2226000</v>
      </c>
      <c r="M320" s="97" t="s">
        <v>732</v>
      </c>
      <c r="N320" s="203"/>
    </row>
    <row r="321" spans="1:14" s="23" customFormat="1" ht="66.75" customHeight="1" x14ac:dyDescent="0.2">
      <c r="A321" s="413"/>
      <c r="B321" s="504" t="s">
        <v>120</v>
      </c>
      <c r="C321" s="414">
        <v>2012</v>
      </c>
      <c r="D321" s="113" t="s">
        <v>121</v>
      </c>
      <c r="E321" s="415" t="s">
        <v>313</v>
      </c>
      <c r="F321" s="415" t="s">
        <v>38</v>
      </c>
      <c r="G321" s="81" t="s">
        <v>733</v>
      </c>
      <c r="H321" s="416" t="s">
        <v>64</v>
      </c>
      <c r="I321" s="417">
        <v>185</v>
      </c>
      <c r="J321" s="417">
        <v>2448</v>
      </c>
      <c r="K321" s="82">
        <v>371</v>
      </c>
      <c r="L321" s="83">
        <f>4500*K321</f>
        <v>1669500</v>
      </c>
      <c r="M321" s="65" t="s">
        <v>732</v>
      </c>
      <c r="N321" s="203"/>
    </row>
    <row r="322" spans="1:14" s="23" customFormat="1" ht="36" customHeight="1" x14ac:dyDescent="0.2">
      <c r="A322" s="536">
        <v>1666</v>
      </c>
      <c r="B322" s="530" t="s">
        <v>734</v>
      </c>
      <c r="C322" s="530">
        <v>2016</v>
      </c>
      <c r="D322" s="533" t="s">
        <v>735</v>
      </c>
      <c r="E322" s="534">
        <v>2018</v>
      </c>
      <c r="F322" s="534" t="s">
        <v>38</v>
      </c>
      <c r="G322" s="92" t="s">
        <v>10</v>
      </c>
      <c r="H322" s="540" t="s">
        <v>183</v>
      </c>
      <c r="I322" s="526">
        <v>186</v>
      </c>
      <c r="J322" s="526">
        <v>2449</v>
      </c>
      <c r="K322" s="95">
        <v>358.72</v>
      </c>
      <c r="L322" s="96">
        <f>9000*K322</f>
        <v>3228480.0000000005</v>
      </c>
      <c r="M322" s="97" t="s">
        <v>736</v>
      </c>
      <c r="N322" s="203"/>
    </row>
    <row r="323" spans="1:14" s="23" customFormat="1" ht="40.5" customHeight="1" x14ac:dyDescent="0.2">
      <c r="A323" s="528"/>
      <c r="B323" s="554"/>
      <c r="C323" s="554"/>
      <c r="D323" s="558"/>
      <c r="E323" s="531"/>
      <c r="F323" s="531"/>
      <c r="G323" s="92" t="s">
        <v>10</v>
      </c>
      <c r="H323" s="535"/>
      <c r="I323" s="525"/>
      <c r="J323" s="525"/>
      <c r="K323" s="95">
        <v>358.72</v>
      </c>
      <c r="L323" s="96">
        <f>9000*K323</f>
        <v>3228480.0000000005</v>
      </c>
      <c r="M323" s="97" t="s">
        <v>737</v>
      </c>
      <c r="N323" s="203"/>
    </row>
    <row r="324" spans="1:14" s="23" customFormat="1" ht="63.75" customHeight="1" x14ac:dyDescent="0.2">
      <c r="A324" s="537"/>
      <c r="B324" s="538"/>
      <c r="C324" s="538"/>
      <c r="D324" s="557"/>
      <c r="E324" s="539"/>
      <c r="F324" s="539"/>
      <c r="G324" s="92" t="s">
        <v>767</v>
      </c>
      <c r="H324" s="518"/>
      <c r="I324" s="524"/>
      <c r="J324" s="524"/>
      <c r="K324" s="95">
        <v>358.72</v>
      </c>
      <c r="L324" s="96">
        <f>12000*K324</f>
        <v>4304640</v>
      </c>
      <c r="M324" s="97" t="s">
        <v>732</v>
      </c>
      <c r="N324" s="203"/>
    </row>
    <row r="325" spans="1:14" s="23" customFormat="1" ht="39.75" customHeight="1" x14ac:dyDescent="0.2">
      <c r="A325" s="452"/>
      <c r="B325" s="501" t="s">
        <v>316</v>
      </c>
      <c r="C325" s="453">
        <v>2017</v>
      </c>
      <c r="D325" s="454" t="s">
        <v>105</v>
      </c>
      <c r="E325" s="455" t="s">
        <v>269</v>
      </c>
      <c r="F325" s="99" t="s">
        <v>106</v>
      </c>
      <c r="G325" s="92" t="s">
        <v>738</v>
      </c>
      <c r="H325" s="456" t="s">
        <v>16</v>
      </c>
      <c r="I325" s="457">
        <v>187</v>
      </c>
      <c r="J325" s="457">
        <v>2450</v>
      </c>
      <c r="K325" s="95">
        <v>5.6327999999999996</v>
      </c>
      <c r="L325" s="96">
        <f>109824.83*K325</f>
        <v>618621.30242399999</v>
      </c>
      <c r="M325" s="97" t="s">
        <v>739</v>
      </c>
      <c r="N325" s="203"/>
    </row>
    <row r="326" spans="1:14" s="23" customFormat="1" ht="39.75" customHeight="1" x14ac:dyDescent="0.2">
      <c r="A326" s="452">
        <v>1667</v>
      </c>
      <c r="B326" s="501" t="s">
        <v>740</v>
      </c>
      <c r="C326" s="453">
        <v>2009</v>
      </c>
      <c r="D326" s="454" t="s">
        <v>105</v>
      </c>
      <c r="E326" s="455">
        <v>2018</v>
      </c>
      <c r="F326" s="99" t="s">
        <v>106</v>
      </c>
      <c r="G326" s="92" t="s">
        <v>741</v>
      </c>
      <c r="H326" s="456" t="s">
        <v>16</v>
      </c>
      <c r="I326" s="457">
        <v>188</v>
      </c>
      <c r="J326" s="457">
        <v>2451</v>
      </c>
      <c r="K326" s="95">
        <v>5.6327999999999996</v>
      </c>
      <c r="L326" s="96">
        <f>112821.83*K326</f>
        <v>635502.80402399995</v>
      </c>
      <c r="M326" s="97" t="s">
        <v>739</v>
      </c>
      <c r="N326" s="203"/>
    </row>
    <row r="327" spans="1:14" s="23" customFormat="1" ht="39" customHeight="1" x14ac:dyDescent="0.2">
      <c r="A327" s="452"/>
      <c r="B327" s="501" t="s">
        <v>503</v>
      </c>
      <c r="C327" s="453">
        <v>2017</v>
      </c>
      <c r="D327" s="454" t="s">
        <v>105</v>
      </c>
      <c r="E327" s="455" t="s">
        <v>55</v>
      </c>
      <c r="F327" s="99" t="s">
        <v>106</v>
      </c>
      <c r="G327" s="92" t="s">
        <v>742</v>
      </c>
      <c r="H327" s="456" t="s">
        <v>16</v>
      </c>
      <c r="I327" s="457">
        <v>189</v>
      </c>
      <c r="J327" s="457">
        <v>2452</v>
      </c>
      <c r="K327" s="95">
        <v>5.6241000000000003</v>
      </c>
      <c r="L327" s="96">
        <f>116219.83*K327</f>
        <v>653631.94590300007</v>
      </c>
      <c r="M327" s="97" t="s">
        <v>739</v>
      </c>
      <c r="N327" s="203"/>
    </row>
    <row r="328" spans="1:14" s="23" customFormat="1" ht="39.75" customHeight="1" x14ac:dyDescent="0.2">
      <c r="A328" s="452">
        <v>1668</v>
      </c>
      <c r="B328" s="501" t="s">
        <v>743</v>
      </c>
      <c r="C328" s="453">
        <v>2017</v>
      </c>
      <c r="D328" s="89" t="s">
        <v>744</v>
      </c>
      <c r="E328" s="455">
        <v>2018</v>
      </c>
      <c r="F328" s="99" t="s">
        <v>106</v>
      </c>
      <c r="G328" s="92" t="s">
        <v>745</v>
      </c>
      <c r="H328" s="456" t="s">
        <v>16</v>
      </c>
      <c r="I328" s="457">
        <v>190</v>
      </c>
      <c r="J328" s="457">
        <v>2453</v>
      </c>
      <c r="K328" s="95">
        <v>5.6241000000000003</v>
      </c>
      <c r="L328" s="96">
        <f>113041.83*K328</f>
        <v>635758.55610300007</v>
      </c>
      <c r="M328" s="97" t="s">
        <v>739</v>
      </c>
      <c r="N328" s="203"/>
    </row>
    <row r="329" spans="1:14" s="23" customFormat="1" ht="77.25" customHeight="1" x14ac:dyDescent="0.2">
      <c r="A329" s="495">
        <v>1669</v>
      </c>
      <c r="B329" s="501" t="s">
        <v>746</v>
      </c>
      <c r="C329" s="496">
        <v>2013</v>
      </c>
      <c r="D329" s="89" t="s">
        <v>747</v>
      </c>
      <c r="E329" s="497">
        <v>2018</v>
      </c>
      <c r="F329" s="497" t="s">
        <v>530</v>
      </c>
      <c r="G329" s="92" t="s">
        <v>748</v>
      </c>
      <c r="H329" s="493" t="s">
        <v>16</v>
      </c>
      <c r="I329" s="494">
        <v>191</v>
      </c>
      <c r="J329" s="494">
        <v>2454</v>
      </c>
      <c r="K329" s="95">
        <v>5.6379000000000001</v>
      </c>
      <c r="L329" s="96">
        <f>118900*K329</f>
        <v>670346.31000000006</v>
      </c>
      <c r="M329" s="97" t="s">
        <v>739</v>
      </c>
      <c r="N329" s="203"/>
    </row>
    <row r="330" spans="1:14" s="23" customFormat="1" ht="30.75" customHeight="1" x14ac:dyDescent="0.2">
      <c r="A330" s="426">
        <v>1670</v>
      </c>
      <c r="B330" s="504" t="s">
        <v>749</v>
      </c>
      <c r="C330" s="427">
        <v>2018</v>
      </c>
      <c r="D330" s="113" t="s">
        <v>750</v>
      </c>
      <c r="E330" s="428">
        <v>2018</v>
      </c>
      <c r="F330" s="432" t="s">
        <v>751</v>
      </c>
      <c r="G330" s="81" t="s">
        <v>752</v>
      </c>
      <c r="H330" s="433" t="s">
        <v>16</v>
      </c>
      <c r="I330" s="430">
        <v>192</v>
      </c>
      <c r="J330" s="430">
        <v>2455</v>
      </c>
      <c r="K330" s="82">
        <v>358.72</v>
      </c>
      <c r="L330" s="83">
        <f>3650*K330</f>
        <v>1309328</v>
      </c>
      <c r="M330" s="65" t="s">
        <v>739</v>
      </c>
      <c r="N330" s="203"/>
    </row>
    <row r="331" spans="1:14" s="23" customFormat="1" ht="63.75" customHeight="1" x14ac:dyDescent="0.2">
      <c r="A331" s="426">
        <v>1671</v>
      </c>
      <c r="B331" s="504" t="s">
        <v>761</v>
      </c>
      <c r="C331" s="427">
        <v>2015</v>
      </c>
      <c r="D331" s="431" t="s">
        <v>353</v>
      </c>
      <c r="E331" s="428">
        <v>2018</v>
      </c>
      <c r="F331" s="432" t="s">
        <v>476</v>
      </c>
      <c r="G331" s="81" t="s">
        <v>764</v>
      </c>
      <c r="H331" s="429" t="s">
        <v>256</v>
      </c>
      <c r="I331" s="430">
        <v>193</v>
      </c>
      <c r="J331" s="430">
        <v>2456</v>
      </c>
      <c r="K331" s="82">
        <v>371.8</v>
      </c>
      <c r="L331" s="83">
        <f>271*K331</f>
        <v>100757.8</v>
      </c>
      <c r="M331" s="65" t="s">
        <v>766</v>
      </c>
      <c r="N331" s="203"/>
    </row>
    <row r="332" spans="1:14" s="23" customFormat="1" ht="65.25" customHeight="1" x14ac:dyDescent="0.2">
      <c r="A332" s="426">
        <v>1672</v>
      </c>
      <c r="B332" s="504" t="s">
        <v>763</v>
      </c>
      <c r="C332" s="427">
        <v>2015</v>
      </c>
      <c r="D332" s="431" t="s">
        <v>353</v>
      </c>
      <c r="E332" s="428">
        <v>2018</v>
      </c>
      <c r="F332" s="428" t="s">
        <v>476</v>
      </c>
      <c r="G332" s="81" t="s">
        <v>764</v>
      </c>
      <c r="H332" s="429" t="s">
        <v>256</v>
      </c>
      <c r="I332" s="430">
        <v>194</v>
      </c>
      <c r="J332" s="430">
        <v>2457</v>
      </c>
      <c r="K332" s="82">
        <v>371.8</v>
      </c>
      <c r="L332" s="83">
        <f>271*K332</f>
        <v>100757.8</v>
      </c>
      <c r="M332" s="65" t="s">
        <v>766</v>
      </c>
      <c r="N332" s="203"/>
    </row>
    <row r="333" spans="1:14" s="23" customFormat="1" ht="66" customHeight="1" x14ac:dyDescent="0.2">
      <c r="A333" s="426">
        <v>1673</v>
      </c>
      <c r="B333" s="504" t="s">
        <v>762</v>
      </c>
      <c r="C333" s="427">
        <v>2015</v>
      </c>
      <c r="D333" s="431" t="s">
        <v>353</v>
      </c>
      <c r="E333" s="428">
        <v>2018</v>
      </c>
      <c r="F333" s="428" t="s">
        <v>476</v>
      </c>
      <c r="G333" s="81" t="s">
        <v>765</v>
      </c>
      <c r="H333" s="429" t="s">
        <v>256</v>
      </c>
      <c r="I333" s="430">
        <v>195</v>
      </c>
      <c r="J333" s="430">
        <v>2458</v>
      </c>
      <c r="K333" s="82">
        <v>371.8</v>
      </c>
      <c r="L333" s="83">
        <f>272*K333</f>
        <v>101129.60000000001</v>
      </c>
      <c r="M333" s="65" t="s">
        <v>766</v>
      </c>
      <c r="N333" s="203"/>
    </row>
    <row r="334" spans="1:14" s="23" customFormat="1" ht="27" customHeight="1" x14ac:dyDescent="0.2">
      <c r="A334" s="477">
        <v>1674</v>
      </c>
      <c r="B334" s="501" t="s">
        <v>753</v>
      </c>
      <c r="C334" s="478">
        <v>2010</v>
      </c>
      <c r="D334" s="177" t="s">
        <v>754</v>
      </c>
      <c r="E334" s="479">
        <v>2018</v>
      </c>
      <c r="F334" s="479" t="s">
        <v>253</v>
      </c>
      <c r="G334" s="92" t="s">
        <v>755</v>
      </c>
      <c r="H334" s="475" t="s">
        <v>64</v>
      </c>
      <c r="I334" s="476">
        <v>196</v>
      </c>
      <c r="J334" s="476">
        <v>2459</v>
      </c>
      <c r="K334" s="95">
        <v>5.4974999999999996</v>
      </c>
      <c r="L334" s="96">
        <f>451750*K334</f>
        <v>2483495.625</v>
      </c>
      <c r="M334" s="97" t="s">
        <v>756</v>
      </c>
      <c r="N334" s="203"/>
    </row>
    <row r="335" spans="1:14" s="23" customFormat="1" ht="42" customHeight="1" x14ac:dyDescent="0.2">
      <c r="A335" s="469"/>
      <c r="B335" s="501" t="s">
        <v>202</v>
      </c>
      <c r="C335" s="470">
        <v>2017</v>
      </c>
      <c r="D335" s="471" t="s">
        <v>203</v>
      </c>
      <c r="E335" s="472" t="s">
        <v>123</v>
      </c>
      <c r="F335" s="472" t="s">
        <v>82</v>
      </c>
      <c r="G335" s="92" t="s">
        <v>786</v>
      </c>
      <c r="H335" s="473" t="s">
        <v>16</v>
      </c>
      <c r="I335" s="474">
        <v>197</v>
      </c>
      <c r="J335" s="474">
        <v>2460</v>
      </c>
      <c r="K335" s="95">
        <v>5.5141</v>
      </c>
      <c r="L335" s="96">
        <f>232920*K335</f>
        <v>1284344.172</v>
      </c>
      <c r="M335" s="97" t="s">
        <v>756</v>
      </c>
      <c r="N335" s="203"/>
    </row>
    <row r="336" spans="1:14" s="23" customFormat="1" ht="119.25" customHeight="1" x14ac:dyDescent="0.2">
      <c r="A336" s="484"/>
      <c r="B336" s="501" t="s">
        <v>246</v>
      </c>
      <c r="C336" s="485">
        <v>2007</v>
      </c>
      <c r="D336" s="489" t="s">
        <v>245</v>
      </c>
      <c r="E336" s="486" t="s">
        <v>204</v>
      </c>
      <c r="F336" s="486" t="s">
        <v>247</v>
      </c>
      <c r="G336" s="92" t="s">
        <v>757</v>
      </c>
      <c r="H336" s="506" t="s">
        <v>816</v>
      </c>
      <c r="I336" s="483">
        <v>198</v>
      </c>
      <c r="J336" s="483">
        <v>2461</v>
      </c>
      <c r="K336" s="95">
        <v>5.5151000000000003</v>
      </c>
      <c r="L336" s="96">
        <f>220000*K336</f>
        <v>1213322</v>
      </c>
      <c r="M336" s="97" t="s">
        <v>756</v>
      </c>
      <c r="N336" s="203"/>
    </row>
    <row r="337" spans="1:33" s="23" customFormat="1" ht="51" customHeight="1" x14ac:dyDescent="0.2">
      <c r="A337" s="469"/>
      <c r="B337" s="501" t="s">
        <v>758</v>
      </c>
      <c r="C337" s="470">
        <v>2014</v>
      </c>
      <c r="D337" s="89" t="s">
        <v>105</v>
      </c>
      <c r="E337" s="472" t="s">
        <v>269</v>
      </c>
      <c r="F337" s="99" t="s">
        <v>106</v>
      </c>
      <c r="G337" s="92" t="s">
        <v>759</v>
      </c>
      <c r="H337" s="480" t="s">
        <v>787</v>
      </c>
      <c r="I337" s="474">
        <v>199</v>
      </c>
      <c r="J337" s="474">
        <v>2462</v>
      </c>
      <c r="K337" s="95">
        <v>5.5152999999999999</v>
      </c>
      <c r="L337" s="96">
        <f>111326.83*K337</f>
        <v>614000.86549899995</v>
      </c>
      <c r="M337" s="97" t="s">
        <v>756</v>
      </c>
      <c r="N337" s="203"/>
    </row>
    <row r="338" spans="1:33" s="23" customFormat="1" ht="64.5" customHeight="1" x14ac:dyDescent="0.2">
      <c r="A338" s="484"/>
      <c r="B338" s="501" t="s">
        <v>679</v>
      </c>
      <c r="C338" s="485">
        <v>2009</v>
      </c>
      <c r="D338" s="489" t="s">
        <v>680</v>
      </c>
      <c r="E338" s="486" t="s">
        <v>47</v>
      </c>
      <c r="F338" s="486" t="s">
        <v>200</v>
      </c>
      <c r="G338" s="92" t="s">
        <v>760</v>
      </c>
      <c r="H338" s="481" t="s">
        <v>16</v>
      </c>
      <c r="I338" s="483"/>
      <c r="J338" s="483"/>
      <c r="K338" s="95">
        <v>5.5288000000000004</v>
      </c>
      <c r="L338" s="96">
        <f>31698.26*K338</f>
        <v>175253.33988800002</v>
      </c>
      <c r="M338" s="97" t="s">
        <v>756</v>
      </c>
      <c r="N338" s="203"/>
    </row>
    <row r="339" spans="1:33" s="23" customFormat="1" ht="33" customHeight="1" x14ac:dyDescent="0.2">
      <c r="A339" s="536">
        <v>1675</v>
      </c>
      <c r="B339" s="530" t="s">
        <v>770</v>
      </c>
      <c r="C339" s="530">
        <v>2014</v>
      </c>
      <c r="D339" s="533" t="s">
        <v>771</v>
      </c>
      <c r="E339" s="534">
        <v>2018</v>
      </c>
      <c r="F339" s="534" t="s">
        <v>410</v>
      </c>
      <c r="G339" s="92" t="s">
        <v>10</v>
      </c>
      <c r="H339" s="540" t="s">
        <v>817</v>
      </c>
      <c r="I339" s="526">
        <v>200</v>
      </c>
      <c r="J339" s="526">
        <v>2463</v>
      </c>
      <c r="K339" s="95">
        <v>358.72</v>
      </c>
      <c r="L339" s="96">
        <f>9000*K339</f>
        <v>3228480.0000000005</v>
      </c>
      <c r="M339" s="97" t="s">
        <v>769</v>
      </c>
      <c r="N339" s="203"/>
    </row>
    <row r="340" spans="1:33" s="23" customFormat="1" ht="51" customHeight="1" x14ac:dyDescent="0.2">
      <c r="A340" s="537"/>
      <c r="B340" s="538"/>
      <c r="C340" s="538"/>
      <c r="D340" s="539"/>
      <c r="E340" s="539"/>
      <c r="F340" s="539"/>
      <c r="G340" s="92" t="s">
        <v>772</v>
      </c>
      <c r="H340" s="518"/>
      <c r="I340" s="524"/>
      <c r="J340" s="524"/>
      <c r="K340" s="95">
        <v>358.72</v>
      </c>
      <c r="L340" s="96">
        <f>7200*K340</f>
        <v>2582784</v>
      </c>
      <c r="M340" s="97" t="s">
        <v>773</v>
      </c>
      <c r="N340" s="203"/>
    </row>
    <row r="341" spans="1:33" s="23" customFormat="1" ht="67.5" customHeight="1" x14ac:dyDescent="0.2">
      <c r="A341" s="444"/>
      <c r="B341" s="501" t="s">
        <v>132</v>
      </c>
      <c r="C341" s="445">
        <v>2009</v>
      </c>
      <c r="D341" s="448" t="s">
        <v>128</v>
      </c>
      <c r="E341" s="446" t="s">
        <v>47</v>
      </c>
      <c r="F341" s="446" t="s">
        <v>410</v>
      </c>
      <c r="G341" s="92" t="s">
        <v>72</v>
      </c>
      <c r="H341" s="450" t="s">
        <v>781</v>
      </c>
      <c r="I341" s="443"/>
      <c r="J341" s="443"/>
      <c r="K341" s="95">
        <v>358.72</v>
      </c>
      <c r="L341" s="96">
        <f>3500*K341</f>
        <v>1255520</v>
      </c>
      <c r="M341" s="97" t="s">
        <v>769</v>
      </c>
      <c r="N341" s="203"/>
    </row>
    <row r="342" spans="1:33" s="23" customFormat="1" x14ac:dyDescent="0.2">
      <c r="A342" s="87"/>
      <c r="B342" s="88"/>
      <c r="C342" s="88"/>
      <c r="D342" s="412"/>
      <c r="E342" s="99"/>
      <c r="F342" s="311"/>
      <c r="G342" s="92"/>
      <c r="H342" s="210"/>
      <c r="I342" s="94"/>
      <c r="J342" s="94"/>
      <c r="K342" s="95"/>
      <c r="L342" s="96"/>
      <c r="M342" s="97"/>
    </row>
    <row r="343" spans="1:33" s="13" customFormat="1" x14ac:dyDescent="0.2">
      <c r="A343" s="37"/>
      <c r="B343" s="38" t="s">
        <v>60</v>
      </c>
      <c r="C343" s="39"/>
      <c r="D343" s="39"/>
      <c r="E343" s="40"/>
      <c r="F343" s="40"/>
      <c r="G343" s="41"/>
      <c r="H343" s="42"/>
      <c r="I343" s="491"/>
      <c r="J343" s="43"/>
      <c r="K343" s="44"/>
      <c r="L343" s="45">
        <f>SUM(L30:L342)</f>
        <v>422501654.98804718</v>
      </c>
      <c r="M343" s="61"/>
      <c r="N343" s="75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</row>
    <row r="344" spans="1:33" x14ac:dyDescent="0.2">
      <c r="F344" s="19"/>
      <c r="I344" s="490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</row>
    <row r="345" spans="1:33" x14ac:dyDescent="0.2">
      <c r="F345" s="20"/>
      <c r="M345" s="76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</row>
    <row r="346" spans="1:33" x14ac:dyDescent="0.2">
      <c r="N346" s="7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</row>
    <row r="347" spans="1:33" x14ac:dyDescent="0.2">
      <c r="N347" s="7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</row>
    <row r="348" spans="1:33" x14ac:dyDescent="0.2">
      <c r="N348" s="74"/>
    </row>
    <row r="356" spans="14:14" x14ac:dyDescent="0.2">
      <c r="N356" s="74"/>
    </row>
  </sheetData>
  <sheetProtection password="81D3" sheet="1" objects="1" scenarios="1" selectLockedCells="1" selectUnlockedCells="1"/>
  <autoFilter ref="A28:N145"/>
  <mergeCells count="477">
    <mergeCell ref="A322:A324"/>
    <mergeCell ref="B322:B324"/>
    <mergeCell ref="C322:C324"/>
    <mergeCell ref="D322:D324"/>
    <mergeCell ref="E322:E324"/>
    <mergeCell ref="F322:F324"/>
    <mergeCell ref="H322:H324"/>
    <mergeCell ref="I322:I324"/>
    <mergeCell ref="J322:J324"/>
    <mergeCell ref="J288:J290"/>
    <mergeCell ref="A314:A316"/>
    <mergeCell ref="B314:B316"/>
    <mergeCell ref="C314:C316"/>
    <mergeCell ref="D314:D316"/>
    <mergeCell ref="E314:E316"/>
    <mergeCell ref="F314:F316"/>
    <mergeCell ref="H314:H316"/>
    <mergeCell ref="I314:I316"/>
    <mergeCell ref="J314:J316"/>
    <mergeCell ref="I312:I313"/>
    <mergeCell ref="J312:J313"/>
    <mergeCell ref="A296:A297"/>
    <mergeCell ref="B296:B297"/>
    <mergeCell ref="C296:C297"/>
    <mergeCell ref="D296:D297"/>
    <mergeCell ref="E296:E297"/>
    <mergeCell ref="F296:F297"/>
    <mergeCell ref="H296:H297"/>
    <mergeCell ref="I296:I297"/>
    <mergeCell ref="J296:J297"/>
    <mergeCell ref="A253:A254"/>
    <mergeCell ref="B253:B254"/>
    <mergeCell ref="C253:C254"/>
    <mergeCell ref="D253:D254"/>
    <mergeCell ref="E253:E254"/>
    <mergeCell ref="F253:F254"/>
    <mergeCell ref="I253:I254"/>
    <mergeCell ref="J253:J254"/>
    <mergeCell ref="A242:A243"/>
    <mergeCell ref="B242:B243"/>
    <mergeCell ref="C242:C243"/>
    <mergeCell ref="D242:D243"/>
    <mergeCell ref="E242:E243"/>
    <mergeCell ref="F242:F243"/>
    <mergeCell ref="I242:I243"/>
    <mergeCell ref="J242:J243"/>
    <mergeCell ref="I261:I262"/>
    <mergeCell ref="F233:F238"/>
    <mergeCell ref="H233:H238"/>
    <mergeCell ref="I233:I238"/>
    <mergeCell ref="J233:J238"/>
    <mergeCell ref="I251:I252"/>
    <mergeCell ref="J251:J252"/>
    <mergeCell ref="I249:I250"/>
    <mergeCell ref="J249:J250"/>
    <mergeCell ref="A140:A141"/>
    <mergeCell ref="B140:B141"/>
    <mergeCell ref="C140:C141"/>
    <mergeCell ref="D140:D141"/>
    <mergeCell ref="E140:E141"/>
    <mergeCell ref="F140:F141"/>
    <mergeCell ref="H140:H141"/>
    <mergeCell ref="I140:I141"/>
    <mergeCell ref="J140:J141"/>
    <mergeCell ref="A116:A117"/>
    <mergeCell ref="B116:B117"/>
    <mergeCell ref="C116:C117"/>
    <mergeCell ref="D116:D117"/>
    <mergeCell ref="E116:E117"/>
    <mergeCell ref="F116:F117"/>
    <mergeCell ref="H116:H117"/>
    <mergeCell ref="I116:I117"/>
    <mergeCell ref="J116:J117"/>
    <mergeCell ref="J95:J96"/>
    <mergeCell ref="A108:A111"/>
    <mergeCell ref="B108:B111"/>
    <mergeCell ref="C108:C111"/>
    <mergeCell ref="D108:D111"/>
    <mergeCell ref="E108:E111"/>
    <mergeCell ref="F108:F111"/>
    <mergeCell ref="H108:H111"/>
    <mergeCell ref="I108:I111"/>
    <mergeCell ref="J108:J111"/>
    <mergeCell ref="A101:A102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A95:A96"/>
    <mergeCell ref="D95:D96"/>
    <mergeCell ref="G110:G111"/>
    <mergeCell ref="B95:B96"/>
    <mergeCell ref="C95:C96"/>
    <mergeCell ref="J64:J65"/>
    <mergeCell ref="I49:I50"/>
    <mergeCell ref="J49:J50"/>
    <mergeCell ref="H44:H45"/>
    <mergeCell ref="I44:I45"/>
    <mergeCell ref="J44:J45"/>
    <mergeCell ref="I61:I62"/>
    <mergeCell ref="J61:J62"/>
    <mergeCell ref="H64:H65"/>
    <mergeCell ref="I64:I65"/>
    <mergeCell ref="A64:A65"/>
    <mergeCell ref="B64:B65"/>
    <mergeCell ref="C64:C65"/>
    <mergeCell ref="D64:D65"/>
    <mergeCell ref="E64:E65"/>
    <mergeCell ref="F64:F65"/>
    <mergeCell ref="A61:A62"/>
    <mergeCell ref="B61:B62"/>
    <mergeCell ref="C61:C62"/>
    <mergeCell ref="D61:D62"/>
    <mergeCell ref="E61:E62"/>
    <mergeCell ref="F49:F50"/>
    <mergeCell ref="H49:H50"/>
    <mergeCell ref="A49:A50"/>
    <mergeCell ref="B49:B50"/>
    <mergeCell ref="C49:C50"/>
    <mergeCell ref="D49:D50"/>
    <mergeCell ref="E49:E50"/>
    <mergeCell ref="F61:F62"/>
    <mergeCell ref="H61:H62"/>
    <mergeCell ref="F44:F45"/>
    <mergeCell ref="F35:F38"/>
    <mergeCell ref="I35:I38"/>
    <mergeCell ref="J35:J38"/>
    <mergeCell ref="A40:A41"/>
    <mergeCell ref="B40:B41"/>
    <mergeCell ref="C40:C41"/>
    <mergeCell ref="D40:D41"/>
    <mergeCell ref="E40:E41"/>
    <mergeCell ref="F40:F41"/>
    <mergeCell ref="I40:I41"/>
    <mergeCell ref="J40:J41"/>
    <mergeCell ref="A35:A38"/>
    <mergeCell ref="B35:B38"/>
    <mergeCell ref="C35:C38"/>
    <mergeCell ref="D35:D38"/>
    <mergeCell ref="A44:A45"/>
    <mergeCell ref="B44:B45"/>
    <mergeCell ref="C44:C45"/>
    <mergeCell ref="D44:D45"/>
    <mergeCell ref="E44:E45"/>
    <mergeCell ref="H40:H41"/>
    <mergeCell ref="B1:G1"/>
    <mergeCell ref="B2:G2"/>
    <mergeCell ref="B19:C19"/>
    <mergeCell ref="B20:C20"/>
    <mergeCell ref="B21:C21"/>
    <mergeCell ref="E35:E38"/>
    <mergeCell ref="B22:C22"/>
    <mergeCell ref="B23:C23"/>
    <mergeCell ref="B4:M4"/>
    <mergeCell ref="I30:I31"/>
    <mergeCell ref="J30:J31"/>
    <mergeCell ref="H35:H36"/>
    <mergeCell ref="A30:A31"/>
    <mergeCell ref="B30:B31"/>
    <mergeCell ref="C30:C31"/>
    <mergeCell ref="D30:D31"/>
    <mergeCell ref="E30:E31"/>
    <mergeCell ref="B24:C24"/>
    <mergeCell ref="F30:F31"/>
    <mergeCell ref="H30:H31"/>
    <mergeCell ref="J93:J94"/>
    <mergeCell ref="F83:F85"/>
    <mergeCell ref="I83:I85"/>
    <mergeCell ref="J83:J85"/>
    <mergeCell ref="A66:A70"/>
    <mergeCell ref="B66:B70"/>
    <mergeCell ref="C66:C70"/>
    <mergeCell ref="D66:D70"/>
    <mergeCell ref="E66:E70"/>
    <mergeCell ref="F66:F70"/>
    <mergeCell ref="H66:H70"/>
    <mergeCell ref="I66:I70"/>
    <mergeCell ref="J66:J70"/>
    <mergeCell ref="H83:H85"/>
    <mergeCell ref="A83:A85"/>
    <mergeCell ref="B83:B85"/>
    <mergeCell ref="C83:C85"/>
    <mergeCell ref="D83:D85"/>
    <mergeCell ref="E83:E85"/>
    <mergeCell ref="E95:E96"/>
    <mergeCell ref="H95:H96"/>
    <mergeCell ref="I95:I96"/>
    <mergeCell ref="A93:A94"/>
    <mergeCell ref="D93:D94"/>
    <mergeCell ref="E93:E94"/>
    <mergeCell ref="F93:F94"/>
    <mergeCell ref="F95:F96"/>
    <mergeCell ref="B93:B94"/>
    <mergeCell ref="C93:C94"/>
    <mergeCell ref="I88:I89"/>
    <mergeCell ref="H88:H89"/>
    <mergeCell ref="H93:H94"/>
    <mergeCell ref="I93:I94"/>
    <mergeCell ref="J88:J89"/>
    <mergeCell ref="A88:A89"/>
    <mergeCell ref="B88:B89"/>
    <mergeCell ref="C88:C89"/>
    <mergeCell ref="D88:D89"/>
    <mergeCell ref="E88:E89"/>
    <mergeCell ref="F88:F89"/>
    <mergeCell ref="D142:D144"/>
    <mergeCell ref="A142:A144"/>
    <mergeCell ref="B142:B144"/>
    <mergeCell ref="C142:C144"/>
    <mergeCell ref="E142:E144"/>
    <mergeCell ref="F142:F144"/>
    <mergeCell ref="H142:H144"/>
    <mergeCell ref="I142:I144"/>
    <mergeCell ref="J142:J144"/>
    <mergeCell ref="A128:A129"/>
    <mergeCell ref="B128:B129"/>
    <mergeCell ref="C128:C129"/>
    <mergeCell ref="D128:D129"/>
    <mergeCell ref="E128:E129"/>
    <mergeCell ref="F128:F129"/>
    <mergeCell ref="H128:H129"/>
    <mergeCell ref="I128:I129"/>
    <mergeCell ref="J162:J166"/>
    <mergeCell ref="A162:A166"/>
    <mergeCell ref="B162:B166"/>
    <mergeCell ref="C162:C166"/>
    <mergeCell ref="D162:D166"/>
    <mergeCell ref="E162:E166"/>
    <mergeCell ref="J157:J158"/>
    <mergeCell ref="A135:A136"/>
    <mergeCell ref="B135:B136"/>
    <mergeCell ref="C135:C136"/>
    <mergeCell ref="D135:D136"/>
    <mergeCell ref="E135:E136"/>
    <mergeCell ref="F135:F136"/>
    <mergeCell ref="H135:H136"/>
    <mergeCell ref="I135:I136"/>
    <mergeCell ref="J135:J136"/>
    <mergeCell ref="A138:A139"/>
    <mergeCell ref="B138:B139"/>
    <mergeCell ref="C138:C139"/>
    <mergeCell ref="D138:D139"/>
    <mergeCell ref="E138:E139"/>
    <mergeCell ref="F138:F139"/>
    <mergeCell ref="I138:I139"/>
    <mergeCell ref="J138:J139"/>
    <mergeCell ref="I153:I155"/>
    <mergeCell ref="H162:H166"/>
    <mergeCell ref="I162:I166"/>
    <mergeCell ref="A157:A158"/>
    <mergeCell ref="B157:B158"/>
    <mergeCell ref="C157:C158"/>
    <mergeCell ref="D157:D158"/>
    <mergeCell ref="F157:F158"/>
    <mergeCell ref="H157:H158"/>
    <mergeCell ref="I157:I158"/>
    <mergeCell ref="B172:B174"/>
    <mergeCell ref="C172:C174"/>
    <mergeCell ref="D172:D174"/>
    <mergeCell ref="E172:E174"/>
    <mergeCell ref="F172:F174"/>
    <mergeCell ref="F169:F170"/>
    <mergeCell ref="J153:J155"/>
    <mergeCell ref="A146:A147"/>
    <mergeCell ref="B146:B147"/>
    <mergeCell ref="C146:C147"/>
    <mergeCell ref="D146:D147"/>
    <mergeCell ref="E146:E147"/>
    <mergeCell ref="F146:F147"/>
    <mergeCell ref="H146:H147"/>
    <mergeCell ref="I146:I147"/>
    <mergeCell ref="J146:J147"/>
    <mergeCell ref="F162:F166"/>
    <mergeCell ref="A153:A155"/>
    <mergeCell ref="B153:B155"/>
    <mergeCell ref="C153:C155"/>
    <mergeCell ref="D153:D155"/>
    <mergeCell ref="E153:E155"/>
    <mergeCell ref="F153:F155"/>
    <mergeCell ref="H153:H155"/>
    <mergeCell ref="H188:H189"/>
    <mergeCell ref="A188:A191"/>
    <mergeCell ref="B188:B191"/>
    <mergeCell ref="C188:C191"/>
    <mergeCell ref="D188:D191"/>
    <mergeCell ref="E188:E191"/>
    <mergeCell ref="F188:F191"/>
    <mergeCell ref="J169:J170"/>
    <mergeCell ref="H172:H173"/>
    <mergeCell ref="A169:A170"/>
    <mergeCell ref="B169:B170"/>
    <mergeCell ref="H175:H176"/>
    <mergeCell ref="A175:A176"/>
    <mergeCell ref="B175:B176"/>
    <mergeCell ref="C175:C176"/>
    <mergeCell ref="D175:D176"/>
    <mergeCell ref="E175:E176"/>
    <mergeCell ref="F175:F176"/>
    <mergeCell ref="I175:I176"/>
    <mergeCell ref="J175:J176"/>
    <mergeCell ref="C169:C170"/>
    <mergeCell ref="D169:D170"/>
    <mergeCell ref="E169:E170"/>
    <mergeCell ref="A172:A174"/>
    <mergeCell ref="D222:D225"/>
    <mergeCell ref="E222:E225"/>
    <mergeCell ref="F222:F225"/>
    <mergeCell ref="H223:H225"/>
    <mergeCell ref="G205:G207"/>
    <mergeCell ref="A192:A193"/>
    <mergeCell ref="B192:B193"/>
    <mergeCell ref="C192:C193"/>
    <mergeCell ref="D192:D193"/>
    <mergeCell ref="E192:E193"/>
    <mergeCell ref="F192:F193"/>
    <mergeCell ref="F199:F200"/>
    <mergeCell ref="H199:H200"/>
    <mergeCell ref="A199:A200"/>
    <mergeCell ref="B199:B200"/>
    <mergeCell ref="C199:C200"/>
    <mergeCell ref="D199:D200"/>
    <mergeCell ref="E199:E200"/>
    <mergeCell ref="A195:A196"/>
    <mergeCell ref="B195:B196"/>
    <mergeCell ref="C195:C196"/>
    <mergeCell ref="D195:D196"/>
    <mergeCell ref="E195:E196"/>
    <mergeCell ref="F195:F196"/>
    <mergeCell ref="J222:J225"/>
    <mergeCell ref="I195:I196"/>
    <mergeCell ref="J195:J196"/>
    <mergeCell ref="A203:A204"/>
    <mergeCell ref="B203:B204"/>
    <mergeCell ref="C203:C204"/>
    <mergeCell ref="D203:D204"/>
    <mergeCell ref="E203:E204"/>
    <mergeCell ref="F203:F204"/>
    <mergeCell ref="H203:H204"/>
    <mergeCell ref="I203:I204"/>
    <mergeCell ref="J203:J204"/>
    <mergeCell ref="A205:A207"/>
    <mergeCell ref="B205:B207"/>
    <mergeCell ref="C205:C207"/>
    <mergeCell ref="D205:D207"/>
    <mergeCell ref="E205:E207"/>
    <mergeCell ref="F205:F207"/>
    <mergeCell ref="H205:H207"/>
    <mergeCell ref="I222:I225"/>
    <mergeCell ref="I205:I207"/>
    <mergeCell ref="A222:A225"/>
    <mergeCell ref="B222:B225"/>
    <mergeCell ref="C222:C225"/>
    <mergeCell ref="F227:F229"/>
    <mergeCell ref="H227:H229"/>
    <mergeCell ref="A251:A252"/>
    <mergeCell ref="B251:B252"/>
    <mergeCell ref="C251:C252"/>
    <mergeCell ref="D251:D252"/>
    <mergeCell ref="E251:E252"/>
    <mergeCell ref="F251:F252"/>
    <mergeCell ref="H251:H252"/>
    <mergeCell ref="A249:A250"/>
    <mergeCell ref="B249:B250"/>
    <mergeCell ref="C249:C250"/>
    <mergeCell ref="D249:D250"/>
    <mergeCell ref="E249:E250"/>
    <mergeCell ref="F249:F250"/>
    <mergeCell ref="H249:H250"/>
    <mergeCell ref="I227:I229"/>
    <mergeCell ref="J227:J229"/>
    <mergeCell ref="J267:J273"/>
    <mergeCell ref="A227:A229"/>
    <mergeCell ref="B227:B229"/>
    <mergeCell ref="C227:C229"/>
    <mergeCell ref="D227:D229"/>
    <mergeCell ref="E227:E229"/>
    <mergeCell ref="A233:A238"/>
    <mergeCell ref="B233:B238"/>
    <mergeCell ref="C233:C238"/>
    <mergeCell ref="D233:D238"/>
    <mergeCell ref="E233:E238"/>
    <mergeCell ref="D263:D264"/>
    <mergeCell ref="F263:F264"/>
    <mergeCell ref="A263:A264"/>
    <mergeCell ref="B263:B264"/>
    <mergeCell ref="C263:C264"/>
    <mergeCell ref="E263:E264"/>
    <mergeCell ref="H263:H264"/>
    <mergeCell ref="I263:I264"/>
    <mergeCell ref="J263:J264"/>
    <mergeCell ref="J261:J262"/>
    <mergeCell ref="A261:A262"/>
    <mergeCell ref="B261:B262"/>
    <mergeCell ref="C261:C262"/>
    <mergeCell ref="H268:H270"/>
    <mergeCell ref="A267:A273"/>
    <mergeCell ref="B267:B273"/>
    <mergeCell ref="C267:C273"/>
    <mergeCell ref="D267:D273"/>
    <mergeCell ref="E267:E273"/>
    <mergeCell ref="F267:F273"/>
    <mergeCell ref="H272:H273"/>
    <mergeCell ref="D261:D262"/>
    <mergeCell ref="E261:E262"/>
    <mergeCell ref="F261:F262"/>
    <mergeCell ref="H261:H262"/>
    <mergeCell ref="I267:I273"/>
    <mergeCell ref="A279:A280"/>
    <mergeCell ref="B279:B280"/>
    <mergeCell ref="C279:C280"/>
    <mergeCell ref="D279:D280"/>
    <mergeCell ref="E279:E280"/>
    <mergeCell ref="F279:F280"/>
    <mergeCell ref="H279:H280"/>
    <mergeCell ref="I279:I280"/>
    <mergeCell ref="J279:J280"/>
    <mergeCell ref="A281:A282"/>
    <mergeCell ref="B281:B282"/>
    <mergeCell ref="C281:C282"/>
    <mergeCell ref="D281:D282"/>
    <mergeCell ref="E281:E282"/>
    <mergeCell ref="F281:F282"/>
    <mergeCell ref="H281:H282"/>
    <mergeCell ref="I281:I282"/>
    <mergeCell ref="J281:J282"/>
    <mergeCell ref="J339:J340"/>
    <mergeCell ref="A288:A290"/>
    <mergeCell ref="B288:B290"/>
    <mergeCell ref="C288:C290"/>
    <mergeCell ref="D288:D290"/>
    <mergeCell ref="E288:E290"/>
    <mergeCell ref="F288:F290"/>
    <mergeCell ref="H288:H290"/>
    <mergeCell ref="I288:I290"/>
    <mergeCell ref="A339:A340"/>
    <mergeCell ref="B339:B340"/>
    <mergeCell ref="C339:C340"/>
    <mergeCell ref="D339:D340"/>
    <mergeCell ref="E339:E340"/>
    <mergeCell ref="F339:F340"/>
    <mergeCell ref="H339:H340"/>
    <mergeCell ref="I339:I340"/>
    <mergeCell ref="A312:A313"/>
    <mergeCell ref="B312:B313"/>
    <mergeCell ref="C312:C313"/>
    <mergeCell ref="D312:D313"/>
    <mergeCell ref="E312:E313"/>
    <mergeCell ref="F312:F313"/>
    <mergeCell ref="H312:H313"/>
    <mergeCell ref="K205:K207"/>
    <mergeCell ref="L205:L207"/>
    <mergeCell ref="M205:M207"/>
    <mergeCell ref="K110:K111"/>
    <mergeCell ref="L110:L111"/>
    <mergeCell ref="M110:M111"/>
    <mergeCell ref="G138:G139"/>
    <mergeCell ref="H138:H139"/>
    <mergeCell ref="K138:K139"/>
    <mergeCell ref="L138:L139"/>
    <mergeCell ref="M138:M139"/>
    <mergeCell ref="J128:J129"/>
    <mergeCell ref="J205:J207"/>
    <mergeCell ref="I192:I193"/>
    <mergeCell ref="J192:J193"/>
    <mergeCell ref="I199:I200"/>
    <mergeCell ref="J199:J200"/>
    <mergeCell ref="I188:I191"/>
    <mergeCell ref="J188:J191"/>
    <mergeCell ref="I172:I174"/>
    <mergeCell ref="J172:J174"/>
    <mergeCell ref="H169:H170"/>
    <mergeCell ref="I169:I170"/>
    <mergeCell ref="H195:H196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2019-02-05T06:20:20Z</cp:lastPrinted>
  <dcterms:created xsi:type="dcterms:W3CDTF">2013-11-07T08:01:25Z</dcterms:created>
  <dcterms:modified xsi:type="dcterms:W3CDTF">2019-02-05T08:13:34Z</dcterms:modified>
</cp:coreProperties>
</file>