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085"/>
  </bookViews>
  <sheets>
    <sheet name="2012" sheetId="2" r:id="rId1"/>
  </sheets>
  <calcPr calcId="145621"/>
</workbook>
</file>

<file path=xl/calcChain.xml><?xml version="1.0" encoding="utf-8"?>
<calcChain xmlns="http://schemas.openxmlformats.org/spreadsheetml/2006/main">
  <c r="K86" i="2" l="1"/>
  <c r="K85" i="2"/>
  <c r="G85" i="2" s="1"/>
  <c r="K58" i="2" l="1"/>
  <c r="G58" i="2" s="1"/>
  <c r="K57" i="2"/>
  <c r="G57" i="2" s="1"/>
  <c r="K55" i="2"/>
  <c r="G55" i="2" s="1"/>
  <c r="K36" i="2"/>
  <c r="G36" i="2" s="1"/>
  <c r="K65" i="2"/>
  <c r="G65" i="2" s="1"/>
  <c r="K84" i="2"/>
  <c r="G84" i="2" s="1"/>
  <c r="K79" i="2"/>
  <c r="G79" i="2" s="1"/>
  <c r="K78" i="2"/>
  <c r="G78" i="2" s="1"/>
  <c r="K77" i="2"/>
  <c r="G77" i="2" s="1"/>
  <c r="K75" i="2"/>
  <c r="G75" i="2" s="1"/>
  <c r="K72" i="2"/>
  <c r="G72" i="2" s="1"/>
  <c r="K71" i="2"/>
  <c r="G71" i="2" s="1"/>
  <c r="K68" i="2"/>
  <c r="G68" i="2" s="1"/>
  <c r="K62" i="2"/>
  <c r="G62" i="2" s="1"/>
  <c r="K52" i="2"/>
  <c r="G52" i="2" s="1"/>
  <c r="K51" i="2"/>
  <c r="G51" i="2" s="1"/>
  <c r="K49" i="2"/>
  <c r="G49" i="2" s="1"/>
  <c r="K48" i="2"/>
  <c r="G48" i="2" s="1"/>
  <c r="K46" i="2"/>
  <c r="G46" i="2" s="1"/>
  <c r="K44" i="2"/>
  <c r="G44" i="2" s="1"/>
  <c r="K40" i="2"/>
  <c r="G40" i="2" s="1"/>
  <c r="K38" i="2"/>
  <c r="G38" i="2" s="1"/>
  <c r="K37" i="2"/>
  <c r="G37" i="2" s="1"/>
  <c r="K35" i="2"/>
  <c r="G35" i="2" s="1"/>
  <c r="K34" i="2"/>
  <c r="G34" i="2" s="1"/>
  <c r="K33" i="2"/>
  <c r="G33" i="2" s="1"/>
  <c r="K31" i="2"/>
  <c r="G31" i="2" s="1"/>
  <c r="K29" i="2"/>
  <c r="G29" i="2" s="1"/>
  <c r="K27" i="2"/>
  <c r="G27" i="2" s="1"/>
  <c r="K25" i="2"/>
  <c r="G25" i="2" s="1"/>
  <c r="K88" i="2"/>
  <c r="G88" i="2" s="1"/>
  <c r="K73" i="2"/>
  <c r="G73" i="2" s="1"/>
  <c r="K59" i="2"/>
  <c r="G59" i="2" s="1"/>
  <c r="K54" i="2" l="1"/>
  <c r="G54" i="2" s="1"/>
  <c r="K45" i="2"/>
  <c r="G45" i="2" s="1"/>
  <c r="K76" i="2"/>
  <c r="G76" i="2" s="1"/>
  <c r="K64" i="2"/>
  <c r="K87" i="2"/>
  <c r="K26" i="2"/>
  <c r="G26" i="2" s="1"/>
  <c r="K24" i="2"/>
  <c r="G24" i="2" s="1"/>
  <c r="K28" i="2"/>
  <c r="G28" i="2" s="1"/>
  <c r="K47" i="2"/>
  <c r="G47" i="2" s="1"/>
  <c r="K61" i="2"/>
  <c r="G61" i="2" s="1"/>
  <c r="K41" i="2"/>
  <c r="G41" i="2" s="1"/>
  <c r="K53" i="2"/>
  <c r="G53" i="2" s="1"/>
  <c r="K70" i="2"/>
  <c r="G70" i="2" s="1"/>
  <c r="K80" i="2"/>
  <c r="G80" i="2" s="1"/>
  <c r="K56" i="2"/>
  <c r="G56" i="2" s="1"/>
  <c r="K60" i="2"/>
  <c r="G60" i="2" s="1"/>
  <c r="K67" i="2"/>
  <c r="G67" i="2" s="1"/>
  <c r="K30" i="2"/>
  <c r="G30" i="2" s="1"/>
  <c r="K32" i="2"/>
  <c r="G32" i="2" s="1"/>
  <c r="K83" i="2"/>
  <c r="G83" i="2" s="1"/>
  <c r="K69" i="2"/>
  <c r="G69" i="2" s="1"/>
  <c r="K50" i="2"/>
  <c r="G50" i="2" s="1"/>
  <c r="K43" i="2"/>
  <c r="G43" i="2" s="1"/>
  <c r="K39" i="2"/>
  <c r="G39" i="2" s="1"/>
  <c r="K81" i="2"/>
  <c r="K63" i="2"/>
  <c r="G63" i="2" s="1"/>
  <c r="G89" i="2" l="1"/>
  <c r="K94" i="2"/>
  <c r="K95" i="2"/>
  <c r="K93" i="2"/>
  <c r="K42" i="2"/>
  <c r="K66" i="2"/>
  <c r="K74" i="2"/>
  <c r="K82" i="2"/>
  <c r="E11" i="2"/>
  <c r="E17" i="2" s="1"/>
  <c r="E19" i="2" s="1"/>
  <c r="D11" i="2"/>
  <c r="D17" i="2" s="1"/>
  <c r="D18" i="2"/>
  <c r="G11" i="2"/>
  <c r="F10" i="2"/>
  <c r="F11" i="2" s="1"/>
  <c r="G97" i="2"/>
  <c r="F13" i="2" s="1"/>
  <c r="D19" i="2" l="1"/>
  <c r="K89" i="2"/>
  <c r="K97" i="2"/>
  <c r="F17" i="2"/>
</calcChain>
</file>

<file path=xl/sharedStrings.xml><?xml version="1.0" encoding="utf-8"?>
<sst xmlns="http://schemas.openxmlformats.org/spreadsheetml/2006/main" count="346" uniqueCount="249">
  <si>
    <t xml:space="preserve">ОТЧЕТ «Подари детям Жизнь» </t>
  </si>
  <si>
    <t>Дети</t>
  </si>
  <si>
    <t>USD</t>
  </si>
  <si>
    <t>Имя</t>
  </si>
  <si>
    <t>Год рождения</t>
  </si>
  <si>
    <t>Диагноз</t>
  </si>
  <si>
    <t>Дата операции</t>
  </si>
  <si>
    <t>Клиника</t>
  </si>
  <si>
    <t>Стоимость операции USD</t>
  </si>
  <si>
    <t>Юдин Алексей</t>
  </si>
  <si>
    <t>грыжа позвоночника, тромбофлебит правой ноги</t>
  </si>
  <si>
    <t>Университетская клиника Сунчонхян (Корея)</t>
  </si>
  <si>
    <t>2011</t>
  </si>
  <si>
    <t>Санкт-Петербург, Детская городская больница №19 им.К.А.Раухфуза</t>
  </si>
  <si>
    <t>Тулендиева Камила</t>
  </si>
  <si>
    <t>врожденная дисфункция коры надпочечников</t>
  </si>
  <si>
    <t>Москва, Российская детская клиническая больница</t>
  </si>
  <si>
    <t>лимфобластный лейкоз</t>
  </si>
  <si>
    <t>Германия</t>
  </si>
  <si>
    <t>расщелина твердого и мягкого неба</t>
  </si>
  <si>
    <t>Бирюков Гриша</t>
  </si>
  <si>
    <t>рубцевой стеноз гортани, трахеомаляция</t>
  </si>
  <si>
    <t>Корчагин Кирилл</t>
  </si>
  <si>
    <t>рубцовый стеноз пищевода</t>
  </si>
  <si>
    <t>Хасанова Анар</t>
  </si>
  <si>
    <t>врождённый порок сердца</t>
  </si>
  <si>
    <t>Самарский областной клинический кардиологический диспансер</t>
  </si>
  <si>
    <t>Мезенцева Милена</t>
  </si>
  <si>
    <t>врожденная аномалия нижних конечностей</t>
  </si>
  <si>
    <t>Курган, Центр травматологии и ортопедии им.ак.Илизарова</t>
  </si>
  <si>
    <t>Ажикенов Мансур</t>
  </si>
  <si>
    <t>врожденный порок сердца</t>
  </si>
  <si>
    <t>Новосибирск, НИИ патологии кровообращения им.ак.Е.Н.Мешалкина</t>
  </si>
  <si>
    <t>Борисов Егор</t>
  </si>
  <si>
    <t>Жакиянов Ильдан</t>
  </si>
  <si>
    <t>гиперплазия щитовидной железы</t>
  </si>
  <si>
    <t>Москва, РНЦ рентгенорадиологии</t>
  </si>
  <si>
    <t>Томск, НИИ Кардиологии ТНЦ СО РАМН</t>
  </si>
  <si>
    <t>Михайлова Вика</t>
  </si>
  <si>
    <t>Киев, Медицинский центр детской кардиологии и кардиохирургии</t>
  </si>
  <si>
    <t>Узакбаев Эмиль</t>
  </si>
  <si>
    <t>Динасилов Санжар</t>
  </si>
  <si>
    <t>ВПС Дилотационная кардиомиопатия</t>
  </si>
  <si>
    <t>Москва, ФГБУ Научный Центр Здоровья Детей РАМН</t>
  </si>
  <si>
    <t>ретинобластома</t>
  </si>
  <si>
    <t>Нуртай Руслана</t>
  </si>
  <si>
    <t>долларов США</t>
  </si>
  <si>
    <t>о перечисленных средствах за лечение детей на 28 декабря  2012</t>
  </si>
  <si>
    <t>Всего со счёта ОФ "ДОМ" 2007 - 2012</t>
  </si>
  <si>
    <t>ВСЕГО ПО АКЦИИ "ПОДАРИ ДЕТЯМ ЖИЗНЬ" 2007 - 2012</t>
  </si>
  <si>
    <t>кол-во операций 2012</t>
  </si>
  <si>
    <t>кол-во операций 2007 -2012</t>
  </si>
  <si>
    <t>Гололобов Иван</t>
  </si>
  <si>
    <t>вывих бедренных костей</t>
  </si>
  <si>
    <t>2011, 3-я операция</t>
  </si>
  <si>
    <t>Санкт-Петерсбург, клиника им. Турнера</t>
  </si>
  <si>
    <t>Исканова Ролина</t>
  </si>
  <si>
    <t xml:space="preserve">ретинопатия недоношенных 5-степени </t>
  </si>
  <si>
    <t>2011, доплата</t>
  </si>
  <si>
    <t>Санкт-Петербург, Детская клиническая больница</t>
  </si>
  <si>
    <t>Фишер Лиза</t>
  </si>
  <si>
    <t>остеомиелит бедренной кости</t>
  </si>
  <si>
    <t>Курманбаева Назерке</t>
  </si>
  <si>
    <t>Палиенко Артур</t>
  </si>
  <si>
    <t>2009</t>
  </si>
  <si>
    <t>врожденная патология правой верхней конечности</t>
  </si>
  <si>
    <t>Санкт-Петербург, клиника им. Турнера</t>
  </si>
  <si>
    <t>2003</t>
  </si>
  <si>
    <t>2012, 4-й курс лечения</t>
  </si>
  <si>
    <t>Куаткызы Айгерим</t>
  </si>
  <si>
    <t>Алимов Султан</t>
  </si>
  <si>
    <t>эпифиз головки шейки бедра</t>
  </si>
  <si>
    <t>Баймурзина Камила</t>
  </si>
  <si>
    <t>2006</t>
  </si>
  <si>
    <t>Пархоменко Настя</t>
  </si>
  <si>
    <t>2000</t>
  </si>
  <si>
    <t>S-образный грудо-поясничный сколиоз 4 степени</t>
  </si>
  <si>
    <t>Казбек Ерсын</t>
  </si>
  <si>
    <t>2012, 2-я операция</t>
  </si>
  <si>
    <t>Галимова Дильназ</t>
  </si>
  <si>
    <t>2008</t>
  </si>
  <si>
    <t>2012, 3-я операция</t>
  </si>
  <si>
    <t>2012, доплата</t>
  </si>
  <si>
    <t>Лукашкин Адам</t>
  </si>
  <si>
    <t>Немецкий кардиологический центр в Берлине</t>
  </si>
  <si>
    <t>15 000 евро</t>
  </si>
  <si>
    <t>Кусманова Дана</t>
  </si>
  <si>
    <t>Опухоль головного мозга</t>
  </si>
  <si>
    <t>Университетская клиника города Вюрцбург</t>
  </si>
  <si>
    <t>Калыбаев Багжан</t>
  </si>
  <si>
    <t>Послеожоговые гипертрофические рубцы</t>
  </si>
  <si>
    <t>Елеусизова Раиса</t>
  </si>
  <si>
    <t>НПЦ челюстно-лицевая, г.Москва</t>
  </si>
  <si>
    <t>Толеухан Аман</t>
  </si>
  <si>
    <t>Латыпова Настя</t>
  </si>
  <si>
    <t>Врожденная дисфункция коры надпочечников</t>
  </si>
  <si>
    <t>Аллаберди Медине</t>
  </si>
  <si>
    <t>МНТК микрохирургии глаза им. С.Н.Федорова, г.Калуга</t>
  </si>
  <si>
    <t>Гиперплазия щитовидной железы</t>
  </si>
  <si>
    <t>РНЦ рентгенорадиологии, г.Москва</t>
  </si>
  <si>
    <t>2012 доплата</t>
  </si>
  <si>
    <t>МНТК микрохирургии глаза им. С.Н.Федорова г.Калуга</t>
  </si>
  <si>
    <t>2012, 3 операция</t>
  </si>
  <si>
    <t>Сапаргалиев Алмат</t>
  </si>
  <si>
    <t>посттравматический ложный сустав шейки правой бедренной кости</t>
  </si>
  <si>
    <t>2012, 2-операция</t>
  </si>
  <si>
    <t>Germany St.Elisabeth-Krankenhaus</t>
  </si>
  <si>
    <t>врождённый порок сердца, дилотационная кардиомиопатия</t>
  </si>
  <si>
    <t>опухоль головного мозга</t>
  </si>
  <si>
    <t>Онучка Виктория</t>
  </si>
  <si>
    <t>АНО "Клиника травматологии, ортопедии и нейрохирургии НИИТО"</t>
  </si>
  <si>
    <t>Жармаханов Эльдениз</t>
  </si>
  <si>
    <t>2012, 3-операция</t>
  </si>
  <si>
    <t>РНЦ рентгенорадиологии г.Москва</t>
  </si>
  <si>
    <t>Курбанова Аяулым</t>
  </si>
  <si>
    <t>Старонский Саша</t>
  </si>
  <si>
    <t>атрезия желчных путей</t>
  </si>
  <si>
    <t>Московский центр трансплантологии им.Шумакова</t>
  </si>
  <si>
    <t>Батырхан Нурали</t>
  </si>
  <si>
    <t>врожденный супра ацетабулярный вывих бедра слева</t>
  </si>
  <si>
    <t>НИИ травматологии и ортопедии, г.Новосибирск</t>
  </si>
  <si>
    <t>БУЗОО "ОДКБ", г.Омск</t>
  </si>
  <si>
    <t>Кенесова Зелиха</t>
  </si>
  <si>
    <t>Herz-und Diabeteszentrum NRW, Германия</t>
  </si>
  <si>
    <t>Ринатулы Радмир</t>
  </si>
  <si>
    <t>ретинопатия</t>
  </si>
  <si>
    <t xml:space="preserve">ГУЗ "Детская клиническая больница", г.Санкт-Петербург </t>
  </si>
  <si>
    <t>Жумагалиев Газиз</t>
  </si>
  <si>
    <t>2012, доплата за 2 операцию</t>
  </si>
  <si>
    <t>Бакытбергенова Лейла</t>
  </si>
  <si>
    <t>ФГБУ "МНИИ ГБ им.Гельмгольца</t>
  </si>
  <si>
    <t>Давузов Ринат</t>
  </si>
  <si>
    <t>2012, 2 обследование</t>
  </si>
  <si>
    <t>Хибухина Виталина</t>
  </si>
  <si>
    <t>Москва НИИ нейрохирургии</t>
  </si>
  <si>
    <t>Гамишев Сергей</t>
  </si>
  <si>
    <t>Израиль</t>
  </si>
  <si>
    <t>Мейрамбек Мелисбек</t>
  </si>
  <si>
    <t>атрезия наружных слуховых проходов</t>
  </si>
  <si>
    <t>Краснодар</t>
  </si>
  <si>
    <t>Ногай Медина</t>
  </si>
  <si>
    <t>стеноз гортани синдром Вильямс-Кемпбелла</t>
  </si>
  <si>
    <t>Москва, Научный центр здоровья детей РАМН</t>
  </si>
  <si>
    <t>2012, 4-я операция</t>
  </si>
  <si>
    <t>Алаберди Медине</t>
  </si>
  <si>
    <t>Пискунович Женя</t>
  </si>
  <si>
    <t>экстрофия мочевого пузыря</t>
  </si>
  <si>
    <t>Portland Hospital, Великобритания</t>
  </si>
  <si>
    <t>Шыныбеков Ерболат</t>
  </si>
  <si>
    <t>Елеусизова Рая</t>
  </si>
  <si>
    <t>Расщелина твердого и мягкого неба</t>
  </si>
  <si>
    <t>Москва, Клиническая Больница №1 Управления делами президента РФ</t>
  </si>
  <si>
    <t>Темирова Адема</t>
  </si>
  <si>
    <t>кавернозная гемангиома</t>
  </si>
  <si>
    <t>Москва, Национальный Научно-Практический Центр</t>
  </si>
  <si>
    <t>Алиев Юнус</t>
  </si>
  <si>
    <t>эмбриональная рабдомиосаркома правой орбиты</t>
  </si>
  <si>
    <t>Москва, Онкологический центр им.Н.Н. Блохина</t>
  </si>
  <si>
    <t xml:space="preserve">Хонатбекулы Аманбол </t>
  </si>
  <si>
    <t>2012, 3-й курс лечения</t>
  </si>
  <si>
    <t>Клиника Аджибадем, Стамбул</t>
  </si>
  <si>
    <t>2012, 5-й курс лечения</t>
  </si>
  <si>
    <t>ВСЕГО ЗА 2012 ПО НАСТОЯЩИЙ МОМЕНТ</t>
  </si>
  <si>
    <t>Частные спонсоры - оплата напрямую в клиники</t>
  </si>
  <si>
    <t>Российский Научный центр "Восстановительная травматология и ортопедия им. академика Г.А. Илизарова"</t>
  </si>
  <si>
    <t>спонсор А. Винокуров</t>
  </si>
  <si>
    <t>Сабитова Камила</t>
  </si>
  <si>
    <t>спастический тетрапарез</t>
  </si>
  <si>
    <t>Пекин, Nanmunan Medical Rehabilitation Company</t>
  </si>
  <si>
    <t>ПетроКазахстан</t>
  </si>
  <si>
    <t xml:space="preserve">Турганбеков Али </t>
  </si>
  <si>
    <t>протезы ног</t>
  </si>
  <si>
    <t>Пекин, China Rehabilitation Research Center</t>
  </si>
  <si>
    <t xml:space="preserve">Тяжпрессмаш </t>
  </si>
  <si>
    <t>Каюм Сармат</t>
  </si>
  <si>
    <t>Пекин, Главная больница военно-морской армии</t>
  </si>
  <si>
    <t>Тяжпрессмаш</t>
  </si>
  <si>
    <t>Итого частные спонсоры 2011г.</t>
  </si>
  <si>
    <t>"Центр Тяжести", 2009</t>
  </si>
  <si>
    <t>деньги собирались на ЦТ, фонд "ДОМ" оказывал консультационную поддержку родителям, поэтому мы не включаем эти средства в общую сумму по акции "Подари детям жизнь"</t>
  </si>
  <si>
    <t>Москва, Научный центр сердечно-сосудистой хирургии им. А.Н.Бакулева РАМН</t>
  </si>
  <si>
    <t>EUR</t>
  </si>
  <si>
    <t>Всего детей</t>
  </si>
  <si>
    <t>Сумма в тенге</t>
  </si>
  <si>
    <t>8 000 USD</t>
  </si>
  <si>
    <t>Партнёры (фонды и компании), 2007- 2010</t>
  </si>
  <si>
    <t>"Российский фонд Помощи", 2009-2010</t>
  </si>
  <si>
    <t>Бесплатные операции в рамках сотрудничества с фондом "ДОМ", 2009-2010</t>
  </si>
  <si>
    <t>Частные спонсоры, 2007-2011</t>
  </si>
  <si>
    <t>Частные спонсоры, 2012</t>
  </si>
  <si>
    <t xml:space="preserve">Курс USD </t>
  </si>
  <si>
    <t xml:space="preserve">Операции/курсы лечения </t>
  </si>
  <si>
    <t>Стоимость операции, валюта (по Акту выполненных работ)</t>
  </si>
  <si>
    <t>Курс валюты на день оплаты</t>
  </si>
  <si>
    <t xml:space="preserve">18 000 EUR </t>
  </si>
  <si>
    <t>269 000 руб.</t>
  </si>
  <si>
    <t>Топко Владимир</t>
  </si>
  <si>
    <t>лейкоз</t>
  </si>
  <si>
    <t>ГУ Республиканский научно-практический центр детской онкологии, гемотологии и иммунологии. г.Минск</t>
  </si>
  <si>
    <t>15 332,28 евро</t>
  </si>
  <si>
    <t>Поташова Мария</t>
  </si>
  <si>
    <t>2012</t>
  </si>
  <si>
    <t>25 000 евро</t>
  </si>
  <si>
    <t>616,16 евро</t>
  </si>
  <si>
    <t>2012, 2 операция</t>
  </si>
  <si>
    <t>Meiz General Hospital Kfaz Saba Israil</t>
  </si>
  <si>
    <t>62 090,64  руб.</t>
  </si>
  <si>
    <t>24 862 руб.</t>
  </si>
  <si>
    <t>119 380  руб.</t>
  </si>
  <si>
    <t>120 800  руб.</t>
  </si>
  <si>
    <t>218 475  руб.</t>
  </si>
  <si>
    <t>209 995  руб.</t>
  </si>
  <si>
    <t>436 170  руб.</t>
  </si>
  <si>
    <t>386 960  руб.</t>
  </si>
  <si>
    <t>221 550  руб.</t>
  </si>
  <si>
    <t>84 176  руб.</t>
  </si>
  <si>
    <t>172 035  руб.</t>
  </si>
  <si>
    <t>44 030  руб.</t>
  </si>
  <si>
    <t>40 280  руб.</t>
  </si>
  <si>
    <t>48 696  руб.</t>
  </si>
  <si>
    <t>85 920  руб.</t>
  </si>
  <si>
    <t>40 930  руб.</t>
  </si>
  <si>
    <t>80 000  руб.</t>
  </si>
  <si>
    <t>36 815,09  руб.</t>
  </si>
  <si>
    <t>291 905  руб.</t>
  </si>
  <si>
    <t>172 350  руб.</t>
  </si>
  <si>
    <t>87 360  руб.</t>
  </si>
  <si>
    <t>165 765  руб.</t>
  </si>
  <si>
    <t>59 650  руб.</t>
  </si>
  <si>
    <t>38 600  руб.</t>
  </si>
  <si>
    <t>56 727,32  руб.</t>
  </si>
  <si>
    <t>28 500  руб.</t>
  </si>
  <si>
    <t>24 550  руб.</t>
  </si>
  <si>
    <t>131 540  руб.</t>
  </si>
  <si>
    <t>300 000  руб.</t>
  </si>
  <si>
    <t>20 890  руб.</t>
  </si>
  <si>
    <t>111 069  руб.</t>
  </si>
  <si>
    <t>130 000  руб.</t>
  </si>
  <si>
    <t>50 797,44  руб.</t>
  </si>
  <si>
    <t>189 100  руб.</t>
  </si>
  <si>
    <t>608 490  руб.</t>
  </si>
  <si>
    <t>269 000  руб.</t>
  </si>
  <si>
    <t>13 700  руб.</t>
  </si>
  <si>
    <t>100 650  руб.</t>
  </si>
  <si>
    <t>900 000  руб.</t>
  </si>
  <si>
    <t>74 620  руб.</t>
  </si>
  <si>
    <t>36 500  руб.</t>
  </si>
  <si>
    <t>600 000  руб.</t>
  </si>
  <si>
    <t>267 500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</si>
</sst>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1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0" fillId="0" borderId="0" xfId="0" applyFill="1"/>
    <xf numFmtId="0" fontId="2" fillId="0" borderId="0" xfId="0" applyFont="1" applyBorder="1" applyAlignment="1">
      <alignment horizontal="left" vertical="top" wrapText="1"/>
    </xf>
    <xf numFmtId="0" fontId="0" fillId="0" borderId="0" xfId="0" applyFill="1" applyAlignment="1"/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/>
    <xf numFmtId="0" fontId="1" fillId="0" borderId="0" xfId="0" applyFont="1" applyAlignment="1">
      <alignment vertical="top" wrapText="1"/>
    </xf>
    <xf numFmtId="0" fontId="1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Fill="1"/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3" fontId="7" fillId="0" borderId="0" xfId="0" applyNumberFormat="1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left" vertical="top" wrapText="1"/>
    </xf>
    <xf numFmtId="3" fontId="7" fillId="0" borderId="0" xfId="0" applyNumberFormat="1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3" fontId="7" fillId="0" borderId="0" xfId="0" applyNumberFormat="1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top"/>
    </xf>
    <xf numFmtId="3" fontId="8" fillId="2" borderId="0" xfId="0" applyNumberFormat="1" applyFont="1" applyFill="1" applyBorder="1" applyAlignment="1">
      <alignment horizontal="left" vertical="top" wrapText="1"/>
    </xf>
    <xf numFmtId="3" fontId="7" fillId="2" borderId="0" xfId="0" applyNumberFormat="1" applyFont="1" applyFill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1" fillId="4" borderId="1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/>
    </xf>
    <xf numFmtId="0" fontId="1" fillId="4" borderId="11" xfId="0" applyNumberFormat="1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3" fontId="2" fillId="4" borderId="11" xfId="0" applyNumberFormat="1" applyFont="1" applyFill="1" applyBorder="1" applyAlignment="1">
      <alignment horizontal="right" vertical="top" wrapText="1"/>
    </xf>
    <xf numFmtId="3" fontId="1" fillId="4" borderId="6" xfId="0" applyNumberFormat="1" applyFont="1" applyFill="1" applyBorder="1" applyAlignment="1">
      <alignment vertical="top"/>
    </xf>
    <xf numFmtId="0" fontId="1" fillId="4" borderId="6" xfId="0" applyFont="1" applyFill="1" applyBorder="1" applyAlignment="1">
      <alignment vertical="top" wrapText="1"/>
    </xf>
    <xf numFmtId="0" fontId="0" fillId="6" borderId="0" xfId="0" applyFill="1"/>
    <xf numFmtId="3" fontId="7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Alignment="1">
      <alignment vertical="top"/>
    </xf>
    <xf numFmtId="0" fontId="0" fillId="8" borderId="0" xfId="0" applyFill="1"/>
    <xf numFmtId="0" fontId="7" fillId="2" borderId="9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8" borderId="0" xfId="0" applyFont="1" applyFill="1" applyAlignment="1">
      <alignment vertical="top" wrapText="1"/>
    </xf>
    <xf numFmtId="0" fontId="6" fillId="8" borderId="0" xfId="0" applyFont="1" applyFill="1"/>
    <xf numFmtId="0" fontId="0" fillId="7" borderId="0" xfId="0" applyFill="1" applyAlignment="1">
      <alignment vertical="top" wrapText="1"/>
    </xf>
    <xf numFmtId="0" fontId="2" fillId="4" borderId="11" xfId="0" applyFont="1" applyFill="1" applyBorder="1" applyAlignment="1">
      <alignment vertical="top"/>
    </xf>
    <xf numFmtId="3" fontId="2" fillId="4" borderId="11" xfId="0" applyNumberFormat="1" applyFont="1" applyFill="1" applyBorder="1" applyAlignment="1">
      <alignment vertical="top"/>
    </xf>
    <xf numFmtId="0" fontId="2" fillId="4" borderId="12" xfId="0" applyFont="1" applyFill="1" applyBorder="1" applyAlignment="1">
      <alignment vertical="top" wrapText="1"/>
    </xf>
    <xf numFmtId="3" fontId="2" fillId="4" borderId="12" xfId="0" applyNumberFormat="1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/>
    </xf>
    <xf numFmtId="0" fontId="6" fillId="9" borderId="0" xfId="0" applyFont="1" applyFill="1"/>
    <xf numFmtId="0" fontId="5" fillId="5" borderId="0" xfId="0" applyFont="1" applyFill="1" applyAlignment="1">
      <alignment vertical="top" wrapText="1"/>
    </xf>
    <xf numFmtId="0" fontId="6" fillId="5" borderId="0" xfId="0" applyFont="1" applyFill="1"/>
    <xf numFmtId="0" fontId="0" fillId="6" borderId="0" xfId="0" applyFill="1" applyAlignment="1">
      <alignment vertical="top" wrapText="1"/>
    </xf>
    <xf numFmtId="0" fontId="5" fillId="6" borderId="0" xfId="0" applyFont="1" applyFill="1" applyAlignment="1">
      <alignment vertical="top" wrapText="1"/>
    </xf>
    <xf numFmtId="0" fontId="5" fillId="6" borderId="0" xfId="0" applyFont="1" applyFill="1"/>
    <xf numFmtId="0" fontId="6" fillId="6" borderId="0" xfId="0" applyFont="1" applyFill="1"/>
    <xf numFmtId="14" fontId="6" fillId="6" borderId="0" xfId="0" applyNumberFormat="1" applyFont="1" applyFill="1"/>
    <xf numFmtId="3" fontId="6" fillId="6" borderId="0" xfId="0" applyNumberFormat="1" applyFont="1" applyFill="1"/>
    <xf numFmtId="0" fontId="6" fillId="6" borderId="0" xfId="0" applyFont="1" applyFill="1" applyAlignment="1">
      <alignment vertical="top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3" fontId="1" fillId="6" borderId="1" xfId="0" applyNumberFormat="1" applyFont="1" applyFill="1" applyBorder="1" applyAlignment="1">
      <alignment horizontal="right" vertical="top" wrapText="1"/>
    </xf>
    <xf numFmtId="3" fontId="1" fillId="6" borderId="1" xfId="0" applyNumberFormat="1" applyFont="1" applyFill="1" applyBorder="1" applyAlignment="1">
      <alignment vertical="top" wrapText="1"/>
    </xf>
    <xf numFmtId="4" fontId="1" fillId="6" borderId="1" xfId="0" applyNumberFormat="1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/>
    </xf>
    <xf numFmtId="3" fontId="1" fillId="6" borderId="1" xfId="0" applyNumberFormat="1" applyFont="1" applyFill="1" applyBorder="1" applyAlignment="1">
      <alignment vertical="top"/>
    </xf>
    <xf numFmtId="0" fontId="1" fillId="6" borderId="2" xfId="0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top" wrapText="1"/>
    </xf>
    <xf numFmtId="49" fontId="1" fillId="6" borderId="7" xfId="0" applyNumberFormat="1" applyFont="1" applyFill="1" applyBorder="1" applyAlignment="1">
      <alignment horizontal="left" vertical="top" wrapText="1"/>
    </xf>
    <xf numFmtId="0" fontId="1" fillId="6" borderId="1" xfId="0" applyNumberFormat="1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0" xfId="0" applyNumberFormat="1" applyFont="1" applyFill="1" applyAlignment="1">
      <alignment vertical="top" wrapText="1"/>
    </xf>
    <xf numFmtId="1" fontId="1" fillId="6" borderId="1" xfId="0" applyNumberFormat="1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2" xfId="0" applyNumberFormat="1" applyFont="1" applyFill="1" applyBorder="1" applyAlignment="1">
      <alignment horizontal="left" vertical="top" wrapText="1"/>
    </xf>
    <xf numFmtId="0" fontId="1" fillId="6" borderId="0" xfId="0" applyFont="1" applyFill="1" applyAlignment="1">
      <alignment vertical="top" wrapText="1"/>
    </xf>
    <xf numFmtId="3" fontId="1" fillId="6" borderId="2" xfId="0" applyNumberFormat="1" applyFont="1" applyFill="1" applyBorder="1" applyAlignment="1">
      <alignment horizontal="right" vertical="top" wrapText="1"/>
    </xf>
    <xf numFmtId="3" fontId="1" fillId="6" borderId="2" xfId="0" applyNumberFormat="1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/>
    </xf>
    <xf numFmtId="0" fontId="1" fillId="6" borderId="1" xfId="0" applyFont="1" applyFill="1" applyBorder="1" applyAlignment="1">
      <alignment horizontal="left" vertical="top"/>
    </xf>
    <xf numFmtId="3" fontId="1" fillId="6" borderId="1" xfId="0" applyNumberFormat="1" applyFont="1" applyFill="1" applyBorder="1" applyAlignment="1">
      <alignment horizontal="right" wrapText="1"/>
    </xf>
    <xf numFmtId="0" fontId="1" fillId="6" borderId="4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right" vertical="top" wrapText="1"/>
    </xf>
    <xf numFmtId="0" fontId="1" fillId="6" borderId="14" xfId="0" applyFont="1" applyFill="1" applyBorder="1" applyAlignment="1">
      <alignment horizontal="left" vertical="top"/>
    </xf>
    <xf numFmtId="0" fontId="1" fillId="6" borderId="9" xfId="0" applyFont="1" applyFill="1" applyBorder="1" applyAlignment="1">
      <alignment vertical="top" wrapText="1"/>
    </xf>
    <xf numFmtId="0" fontId="1" fillId="6" borderId="13" xfId="0" applyFont="1" applyFill="1" applyBorder="1" applyAlignment="1">
      <alignment horizontal="left" vertical="top" wrapText="1"/>
    </xf>
    <xf numFmtId="4" fontId="1" fillId="6" borderId="2" xfId="0" applyNumberFormat="1" applyFont="1" applyFill="1" applyBorder="1" applyAlignment="1">
      <alignment vertical="top" wrapText="1"/>
    </xf>
    <xf numFmtId="0" fontId="1" fillId="6" borderId="9" xfId="0" applyFont="1" applyFill="1" applyBorder="1" applyAlignment="1">
      <alignment horizontal="left" vertical="top"/>
    </xf>
    <xf numFmtId="3" fontId="1" fillId="6" borderId="9" xfId="0" applyNumberFormat="1" applyFont="1" applyFill="1" applyBorder="1" applyAlignment="1">
      <alignment horizontal="right" vertical="top" wrapText="1"/>
    </xf>
    <xf numFmtId="3" fontId="1" fillId="6" borderId="9" xfId="0" applyNumberFormat="1" applyFont="1" applyFill="1" applyBorder="1" applyAlignment="1">
      <alignment vertical="top" wrapText="1"/>
    </xf>
    <xf numFmtId="4" fontId="1" fillId="6" borderId="9" xfId="0" applyNumberFormat="1" applyFont="1" applyFill="1" applyBorder="1" applyAlignment="1">
      <alignment vertical="top" wrapText="1"/>
    </xf>
    <xf numFmtId="0" fontId="1" fillId="6" borderId="9" xfId="0" applyFont="1" applyFill="1" applyBorder="1" applyAlignment="1">
      <alignment vertical="top"/>
    </xf>
    <xf numFmtId="49" fontId="1" fillId="6" borderId="9" xfId="0" applyNumberFormat="1" applyFont="1" applyFill="1" applyBorder="1" applyAlignment="1">
      <alignment horizontal="left" vertical="top" wrapText="1"/>
    </xf>
    <xf numFmtId="0" fontId="1" fillId="6" borderId="9" xfId="0" applyNumberFormat="1" applyFont="1" applyFill="1" applyBorder="1" applyAlignment="1">
      <alignment horizontal="left" vertical="top" wrapText="1"/>
    </xf>
    <xf numFmtId="3" fontId="6" fillId="6" borderId="9" xfId="0" applyNumberFormat="1" applyFont="1" applyFill="1" applyBorder="1" applyAlignment="1">
      <alignment vertical="top"/>
    </xf>
    <xf numFmtId="4" fontId="1" fillId="6" borderId="9" xfId="0" applyNumberFormat="1" applyFont="1" applyFill="1" applyBorder="1" applyAlignment="1">
      <alignment horizontal="right" vertical="top" wrapText="1"/>
    </xf>
    <xf numFmtId="0" fontId="1" fillId="6" borderId="9" xfId="0" applyFont="1" applyFill="1" applyBorder="1" applyAlignment="1">
      <alignment horizontal="right" vertical="top"/>
    </xf>
    <xf numFmtId="3" fontId="6" fillId="6" borderId="1" xfId="0" applyNumberFormat="1" applyFont="1" applyFill="1" applyBorder="1" applyAlignment="1">
      <alignment vertical="top"/>
    </xf>
    <xf numFmtId="4" fontId="1" fillId="6" borderId="1" xfId="0" applyNumberFormat="1" applyFont="1" applyFill="1" applyBorder="1" applyAlignment="1">
      <alignment horizontal="right" vertical="top" wrapText="1"/>
    </xf>
    <xf numFmtId="0" fontId="1" fillId="6" borderId="1" xfId="0" applyFont="1" applyFill="1" applyBorder="1" applyAlignment="1">
      <alignment horizontal="right" vertical="top"/>
    </xf>
    <xf numFmtId="49" fontId="1" fillId="6" borderId="2" xfId="0" applyNumberFormat="1" applyFont="1" applyFill="1" applyBorder="1" applyAlignment="1">
      <alignment horizontal="left" vertical="top" wrapText="1"/>
    </xf>
    <xf numFmtId="3" fontId="6" fillId="6" borderId="2" xfId="0" applyNumberFormat="1" applyFont="1" applyFill="1" applyBorder="1" applyAlignment="1">
      <alignment vertical="top"/>
    </xf>
    <xf numFmtId="4" fontId="1" fillId="6" borderId="2" xfId="0" applyNumberFormat="1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right" vertical="top"/>
    </xf>
    <xf numFmtId="0" fontId="1" fillId="6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3" fontId="1" fillId="6" borderId="0" xfId="0" applyNumberFormat="1" applyFont="1" applyFill="1" applyAlignment="1">
      <alignment horizontal="right" vertical="top" wrapText="1"/>
    </xf>
    <xf numFmtId="0" fontId="1" fillId="6" borderId="0" xfId="0" applyFont="1" applyFill="1" applyAlignment="1">
      <alignment vertical="top"/>
    </xf>
    <xf numFmtId="0" fontId="1" fillId="6" borderId="0" xfId="0" applyFont="1" applyFill="1"/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0"/>
  <sheetViews>
    <sheetView tabSelected="1" topLeftCell="A4" zoomScale="85" zoomScaleNormal="85" workbookViewId="0">
      <selection activeCell="AC95" sqref="AC95"/>
    </sheetView>
  </sheetViews>
  <sheetFormatPr defaultRowHeight="12.75" x14ac:dyDescent="0.2"/>
  <cols>
    <col min="1" max="1" width="5.42578125" style="1" customWidth="1"/>
    <col min="2" max="2" width="15.140625" style="2" customWidth="1"/>
    <col min="3" max="3" width="7.7109375" style="3" customWidth="1"/>
    <col min="4" max="4" width="16.7109375" style="3" customWidth="1"/>
    <col min="5" max="5" width="9.5703125" style="3" customWidth="1"/>
    <col min="6" max="6" width="25" style="3" customWidth="1"/>
    <col min="7" max="7" width="9.28515625" style="4" customWidth="1"/>
    <col min="8" max="10" width="9.28515625" style="16" customWidth="1"/>
    <col min="11" max="11" width="11" style="16" customWidth="1"/>
    <col min="12" max="12" width="8.85546875" style="5" customWidth="1"/>
    <col min="13" max="13" width="7.5703125" style="17" customWidth="1"/>
    <col min="14" max="14" width="10.28515625" bestFit="1" customWidth="1"/>
    <col min="16" max="16" width="11.7109375" customWidth="1"/>
    <col min="21" max="51" width="9.140625" style="60"/>
  </cols>
  <sheetData>
    <row r="1" spans="1:51" ht="18.75" customHeight="1" x14ac:dyDescent="0.2">
      <c r="B1" s="140" t="s">
        <v>0</v>
      </c>
      <c r="C1" s="140"/>
      <c r="D1" s="140"/>
      <c r="E1" s="140"/>
      <c r="F1" s="140"/>
      <c r="G1" s="140"/>
      <c r="H1" s="140"/>
      <c r="I1" s="7"/>
      <c r="J1" s="66"/>
      <c r="K1" s="7"/>
    </row>
    <row r="2" spans="1:51" ht="18.75" customHeight="1" x14ac:dyDescent="0.2">
      <c r="B2" s="140" t="s">
        <v>47</v>
      </c>
      <c r="C2" s="140"/>
      <c r="D2" s="140"/>
      <c r="E2" s="140"/>
      <c r="F2" s="140"/>
      <c r="G2" s="140"/>
      <c r="H2" s="140"/>
      <c r="I2" s="7"/>
      <c r="J2" s="66"/>
      <c r="K2" s="7"/>
    </row>
    <row r="3" spans="1:51" ht="18.75" customHeight="1" x14ac:dyDescent="0.2">
      <c r="B3" s="7"/>
      <c r="C3" s="7"/>
      <c r="D3" s="7"/>
      <c r="E3" s="7"/>
      <c r="F3" s="7"/>
      <c r="G3" s="7"/>
      <c r="H3" s="7"/>
      <c r="I3" s="7"/>
      <c r="J3" s="66"/>
      <c r="K3" s="7"/>
    </row>
    <row r="4" spans="1:51" ht="44.25" customHeight="1" x14ac:dyDescent="0.2">
      <c r="A4" s="34"/>
      <c r="B4" s="35"/>
      <c r="C4" s="35"/>
      <c r="D4" s="35" t="s">
        <v>1</v>
      </c>
      <c r="E4" s="35" t="s">
        <v>191</v>
      </c>
      <c r="F4" s="35" t="s">
        <v>2</v>
      </c>
      <c r="G4" s="35" t="s">
        <v>181</v>
      </c>
      <c r="H4" s="35"/>
      <c r="I4" s="35"/>
      <c r="J4" s="65"/>
      <c r="K4" s="35"/>
      <c r="L4" s="32"/>
      <c r="M4"/>
    </row>
    <row r="5" spans="1:51" s="9" customFormat="1" ht="18.75" customHeight="1" x14ac:dyDescent="0.2">
      <c r="A5" s="32"/>
      <c r="B5" s="36">
        <v>2007</v>
      </c>
      <c r="C5" s="37"/>
      <c r="D5" s="36">
        <v>9</v>
      </c>
      <c r="E5" s="36">
        <v>11</v>
      </c>
      <c r="F5" s="38">
        <v>154118</v>
      </c>
      <c r="G5" s="39"/>
      <c r="H5" s="41"/>
      <c r="I5" s="41"/>
      <c r="J5" s="41"/>
      <c r="K5" s="41"/>
      <c r="L5" s="32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</row>
    <row r="6" spans="1:51" s="9" customFormat="1" ht="18.75" customHeight="1" x14ac:dyDescent="0.2">
      <c r="A6" s="32"/>
      <c r="B6" s="36">
        <v>2008</v>
      </c>
      <c r="C6" s="37"/>
      <c r="D6" s="36">
        <v>44</v>
      </c>
      <c r="E6" s="36">
        <v>45</v>
      </c>
      <c r="F6" s="38">
        <v>333446</v>
      </c>
      <c r="G6" s="38">
        <v>3728</v>
      </c>
      <c r="H6" s="41"/>
      <c r="I6" s="41"/>
      <c r="J6" s="41"/>
      <c r="K6" s="41"/>
      <c r="L6" s="32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</row>
    <row r="7" spans="1:51" s="9" customFormat="1" ht="18.75" customHeight="1" x14ac:dyDescent="0.2">
      <c r="A7" s="32"/>
      <c r="B7" s="36">
        <v>2009</v>
      </c>
      <c r="C7" s="36"/>
      <c r="D7" s="36">
        <v>56</v>
      </c>
      <c r="E7" s="36">
        <v>58</v>
      </c>
      <c r="F7" s="38">
        <v>319410</v>
      </c>
      <c r="G7" s="39"/>
      <c r="H7" s="41"/>
      <c r="I7" s="41"/>
      <c r="J7" s="41"/>
      <c r="K7" s="41"/>
      <c r="L7" s="32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</row>
    <row r="8" spans="1:51" s="9" customFormat="1" ht="18.75" customHeight="1" x14ac:dyDescent="0.2">
      <c r="A8" s="32"/>
      <c r="B8" s="36">
        <v>2010</v>
      </c>
      <c r="C8" s="36"/>
      <c r="D8" s="36">
        <v>111</v>
      </c>
      <c r="E8" s="36">
        <v>117</v>
      </c>
      <c r="F8" s="48">
        <v>719142</v>
      </c>
      <c r="G8" s="39"/>
      <c r="H8" s="41"/>
      <c r="I8" s="41"/>
      <c r="J8" s="41"/>
      <c r="K8" s="41"/>
      <c r="L8" s="32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</row>
    <row r="9" spans="1:51" s="9" customFormat="1" ht="18.75" customHeight="1" x14ac:dyDescent="0.2">
      <c r="A9" s="32"/>
      <c r="B9" s="36">
        <v>2011</v>
      </c>
      <c r="C9" s="36"/>
      <c r="D9" s="36">
        <v>50</v>
      </c>
      <c r="E9" s="36">
        <v>66</v>
      </c>
      <c r="F9" s="38">
        <v>481156</v>
      </c>
      <c r="G9" s="39"/>
      <c r="H9" s="41"/>
      <c r="I9" s="41"/>
      <c r="J9" s="41"/>
      <c r="K9" s="41"/>
      <c r="L9" s="32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</row>
    <row r="10" spans="1:51" s="9" customFormat="1" ht="18.75" customHeight="1" x14ac:dyDescent="0.2">
      <c r="A10" s="32"/>
      <c r="B10" s="36">
        <v>2012</v>
      </c>
      <c r="C10" s="36"/>
      <c r="D10" s="36">
        <v>38</v>
      </c>
      <c r="E10" s="36">
        <v>58</v>
      </c>
      <c r="F10" s="38">
        <f>G89</f>
        <v>492679.31822200015</v>
      </c>
      <c r="G10" s="39"/>
      <c r="H10" s="41"/>
      <c r="I10" s="41"/>
      <c r="J10" s="41"/>
      <c r="K10" s="41"/>
      <c r="L10" s="32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</row>
    <row r="11" spans="1:51" s="8" customFormat="1" ht="29.25" customHeight="1" x14ac:dyDescent="0.2">
      <c r="A11" s="42"/>
      <c r="B11" s="144" t="s">
        <v>48</v>
      </c>
      <c r="C11" s="144"/>
      <c r="D11" s="43">
        <f>SUM(D5:D10)</f>
        <v>308</v>
      </c>
      <c r="E11" s="43">
        <f>SUM(E5:E10)</f>
        <v>355</v>
      </c>
      <c r="F11" s="44">
        <f>SUM(F5:F10)</f>
        <v>2499951.3182220003</v>
      </c>
      <c r="G11" s="44">
        <f>SUM(G5:G8)</f>
        <v>3728</v>
      </c>
      <c r="H11" s="46"/>
      <c r="I11" s="46"/>
      <c r="J11" s="46"/>
      <c r="K11" s="46"/>
      <c r="L11" s="42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</row>
    <row r="12" spans="1:51" s="8" customFormat="1" ht="29.45" customHeight="1" x14ac:dyDescent="0.2">
      <c r="A12" s="42"/>
      <c r="B12" s="141" t="s">
        <v>188</v>
      </c>
      <c r="C12" s="141"/>
      <c r="D12" s="47">
        <v>25</v>
      </c>
      <c r="E12" s="47">
        <v>25</v>
      </c>
      <c r="F12" s="48">
        <v>127680</v>
      </c>
      <c r="G12" s="45"/>
      <c r="H12" s="46"/>
      <c r="I12" s="46"/>
      <c r="J12" s="46"/>
      <c r="K12" s="46"/>
      <c r="L12" s="62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</row>
    <row r="13" spans="1:51" s="8" customFormat="1" ht="25.5" customHeight="1" x14ac:dyDescent="0.2">
      <c r="A13" s="42"/>
      <c r="B13" s="141" t="s">
        <v>189</v>
      </c>
      <c r="C13" s="141"/>
      <c r="D13" s="47">
        <v>4</v>
      </c>
      <c r="E13" s="47">
        <v>5</v>
      </c>
      <c r="F13" s="48">
        <f>G97</f>
        <v>52950</v>
      </c>
      <c r="G13" s="45"/>
      <c r="H13" s="46"/>
      <c r="I13" s="46"/>
      <c r="J13" s="46"/>
      <c r="K13" s="46"/>
      <c r="L13" s="62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</row>
    <row r="14" spans="1:51" s="8" customFormat="1" ht="33" customHeight="1" x14ac:dyDescent="0.2">
      <c r="A14" s="42"/>
      <c r="B14" s="141" t="s">
        <v>185</v>
      </c>
      <c r="C14" s="141"/>
      <c r="D14" s="47">
        <v>9</v>
      </c>
      <c r="E14" s="47">
        <v>9</v>
      </c>
      <c r="F14" s="48">
        <v>27849</v>
      </c>
      <c r="G14" s="45"/>
      <c r="H14" s="46"/>
      <c r="I14" s="46"/>
      <c r="J14" s="46"/>
      <c r="K14" s="46"/>
      <c r="L14" s="42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</row>
    <row r="15" spans="1:51" s="8" customFormat="1" ht="33" customHeight="1" x14ac:dyDescent="0.2">
      <c r="A15" s="42"/>
      <c r="B15" s="141" t="s">
        <v>186</v>
      </c>
      <c r="C15" s="141"/>
      <c r="D15" s="47">
        <v>20</v>
      </c>
      <c r="E15" s="47">
        <v>21</v>
      </c>
      <c r="F15" s="48">
        <v>51541</v>
      </c>
      <c r="G15" s="45"/>
      <c r="H15" s="46"/>
      <c r="I15" s="46"/>
      <c r="J15" s="46"/>
      <c r="K15" s="46"/>
      <c r="L15" s="42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</row>
    <row r="16" spans="1:51" s="9" customFormat="1" ht="55.15" customHeight="1" x14ac:dyDescent="0.2">
      <c r="A16" s="32"/>
      <c r="B16" s="145" t="s">
        <v>187</v>
      </c>
      <c r="C16" s="145"/>
      <c r="D16" s="36">
        <v>20</v>
      </c>
      <c r="E16" s="38">
        <v>20</v>
      </c>
      <c r="F16" s="33"/>
      <c r="G16" s="40"/>
      <c r="H16" s="41"/>
      <c r="I16" s="41"/>
      <c r="J16" s="41"/>
      <c r="K16" s="41"/>
      <c r="L16" s="32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</row>
    <row r="17" spans="1:51" s="9" customFormat="1" ht="49.9" customHeight="1" x14ac:dyDescent="0.2">
      <c r="A17" s="49"/>
      <c r="B17" s="146" t="s">
        <v>49</v>
      </c>
      <c r="C17" s="146"/>
      <c r="D17" s="35">
        <f>SUM(D11:D16)</f>
        <v>386</v>
      </c>
      <c r="E17" s="50">
        <f>SUM(E11:E16)</f>
        <v>435</v>
      </c>
      <c r="F17" s="50">
        <f>SUM(F11:F16)</f>
        <v>2759971.3182220003</v>
      </c>
      <c r="G17" s="51"/>
      <c r="H17" s="52"/>
      <c r="I17" s="52"/>
      <c r="J17" s="52"/>
      <c r="K17" s="52"/>
      <c r="L17" s="32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</row>
    <row r="18" spans="1:51" s="9" customFormat="1" ht="63.75" customHeight="1" x14ac:dyDescent="0.2">
      <c r="A18" s="42"/>
      <c r="B18" s="47" t="s">
        <v>178</v>
      </c>
      <c r="C18" s="47"/>
      <c r="D18" s="47">
        <f>13</f>
        <v>13</v>
      </c>
      <c r="E18" s="38">
        <v>13</v>
      </c>
      <c r="F18" s="48">
        <v>78500</v>
      </c>
      <c r="G18" s="141" t="s">
        <v>179</v>
      </c>
      <c r="H18" s="147"/>
      <c r="I18" s="147"/>
      <c r="J18" s="147"/>
      <c r="K18" s="47"/>
      <c r="L18" s="32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</row>
    <row r="19" spans="1:51" s="9" customFormat="1" ht="26.25" customHeight="1" x14ac:dyDescent="0.2">
      <c r="A19" s="42"/>
      <c r="B19" s="43" t="s">
        <v>182</v>
      </c>
      <c r="C19" s="43"/>
      <c r="D19" s="43">
        <f>D18+D17</f>
        <v>399</v>
      </c>
      <c r="E19" s="44">
        <f>SUM(E17+E18)</f>
        <v>448</v>
      </c>
      <c r="F19" s="61"/>
      <c r="G19" s="61"/>
      <c r="H19" s="61"/>
      <c r="I19" s="61"/>
      <c r="J19" s="61"/>
      <c r="K19" s="61"/>
      <c r="L19" s="32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</row>
    <row r="20" spans="1:51" ht="18.75" customHeight="1" x14ac:dyDescent="0.2">
      <c r="B20" s="7"/>
      <c r="C20" s="7"/>
      <c r="D20" s="7"/>
      <c r="E20" s="7"/>
      <c r="F20" s="7"/>
      <c r="G20" s="7"/>
      <c r="H20" s="7"/>
      <c r="I20" s="7"/>
      <c r="J20" s="66"/>
      <c r="K20" s="7"/>
    </row>
    <row r="21" spans="1:51" ht="74.25" customHeight="1" x14ac:dyDescent="0.2">
      <c r="A21" s="10"/>
      <c r="B21" s="18" t="s">
        <v>3</v>
      </c>
      <c r="C21" s="19" t="s">
        <v>4</v>
      </c>
      <c r="D21" s="19" t="s">
        <v>5</v>
      </c>
      <c r="E21" s="19" t="s">
        <v>6</v>
      </c>
      <c r="F21" s="19" t="s">
        <v>7</v>
      </c>
      <c r="G21" s="20" t="s">
        <v>8</v>
      </c>
      <c r="H21" s="21" t="s">
        <v>192</v>
      </c>
      <c r="I21" s="64" t="s">
        <v>190</v>
      </c>
      <c r="J21" s="64" t="s">
        <v>193</v>
      </c>
      <c r="K21" s="64" t="s">
        <v>183</v>
      </c>
      <c r="L21" s="143" t="s">
        <v>50</v>
      </c>
      <c r="M21" s="143" t="s">
        <v>51</v>
      </c>
    </row>
    <row r="22" spans="1:51" s="13" customFormat="1" ht="23.25" customHeight="1" x14ac:dyDescent="0.2">
      <c r="A22" s="11"/>
      <c r="B22" s="22">
        <v>2012</v>
      </c>
      <c r="C22" s="23"/>
      <c r="D22" s="23"/>
      <c r="E22" s="23"/>
      <c r="F22" s="23"/>
      <c r="G22" s="23"/>
      <c r="H22" s="24"/>
      <c r="I22" s="24"/>
      <c r="J22" s="24"/>
      <c r="K22" s="24"/>
      <c r="L22" s="143"/>
      <c r="M22" s="143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</row>
    <row r="23" spans="1:51" s="13" customFormat="1" ht="23.25" customHeight="1" x14ac:dyDescent="0.2">
      <c r="A23" s="11"/>
      <c r="B23" s="22"/>
      <c r="C23" s="23"/>
      <c r="D23" s="23"/>
      <c r="E23" s="23"/>
      <c r="F23" s="23"/>
      <c r="G23" s="23"/>
      <c r="H23" s="24"/>
      <c r="I23" s="24"/>
      <c r="J23" s="24"/>
      <c r="K23" s="24"/>
      <c r="L23" s="143"/>
      <c r="M23" s="143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</row>
    <row r="24" spans="1:51" s="14" customFormat="1" ht="35.450000000000003" customHeight="1" x14ac:dyDescent="0.2">
      <c r="A24" s="85"/>
      <c r="B24" s="86" t="s">
        <v>52</v>
      </c>
      <c r="C24" s="85">
        <v>2005</v>
      </c>
      <c r="D24" s="85" t="s">
        <v>53</v>
      </c>
      <c r="E24" s="85" t="s">
        <v>54</v>
      </c>
      <c r="F24" s="85" t="s">
        <v>55</v>
      </c>
      <c r="G24" s="87">
        <f t="shared" ref="G24:G41" si="0">K24/I24</f>
        <v>1949.6460960000002</v>
      </c>
      <c r="H24" s="87" t="s">
        <v>206</v>
      </c>
      <c r="I24" s="88">
        <v>150</v>
      </c>
      <c r="J24" s="89">
        <v>4.71</v>
      </c>
      <c r="K24" s="88">
        <f>62090.64*J24</f>
        <v>292446.91440000001</v>
      </c>
      <c r="L24" s="90">
        <v>1</v>
      </c>
      <c r="M24" s="86">
        <v>386</v>
      </c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</row>
    <row r="25" spans="1:51" s="67" customFormat="1" ht="48" customHeight="1" x14ac:dyDescent="0.2">
      <c r="A25" s="85"/>
      <c r="B25" s="86" t="s">
        <v>56</v>
      </c>
      <c r="C25" s="85">
        <v>2010</v>
      </c>
      <c r="D25" s="85" t="s">
        <v>57</v>
      </c>
      <c r="E25" s="85" t="s">
        <v>58</v>
      </c>
      <c r="F25" s="85" t="s">
        <v>59</v>
      </c>
      <c r="G25" s="87">
        <f t="shared" si="0"/>
        <v>780.66680000000008</v>
      </c>
      <c r="H25" s="87" t="s">
        <v>207</v>
      </c>
      <c r="I25" s="88">
        <v>150</v>
      </c>
      <c r="J25" s="89">
        <v>4.71</v>
      </c>
      <c r="K25" s="88">
        <f>24862*J25</f>
        <v>117100.02</v>
      </c>
      <c r="L25" s="91"/>
      <c r="M25" s="86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</row>
    <row r="26" spans="1:51" s="67" customFormat="1" ht="36" customHeight="1" x14ac:dyDescent="0.2">
      <c r="A26" s="85"/>
      <c r="B26" s="92" t="s">
        <v>60</v>
      </c>
      <c r="C26" s="85">
        <v>2004</v>
      </c>
      <c r="D26" s="85" t="s">
        <v>61</v>
      </c>
      <c r="E26" s="85" t="s">
        <v>58</v>
      </c>
      <c r="F26" s="85" t="s">
        <v>29</v>
      </c>
      <c r="G26" s="87">
        <f t="shared" si="0"/>
        <v>3740.5733333333333</v>
      </c>
      <c r="H26" s="87" t="s">
        <v>208</v>
      </c>
      <c r="I26" s="88">
        <v>150</v>
      </c>
      <c r="J26" s="89">
        <v>4.7</v>
      </c>
      <c r="K26" s="88">
        <f>119380*J26</f>
        <v>561086</v>
      </c>
      <c r="L26" s="91"/>
      <c r="M26" s="86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</row>
    <row r="27" spans="1:51" s="14" customFormat="1" ht="33" customHeight="1" x14ac:dyDescent="0.2">
      <c r="A27" s="93">
        <v>358</v>
      </c>
      <c r="B27" s="94" t="s">
        <v>62</v>
      </c>
      <c r="C27" s="95" t="s">
        <v>12</v>
      </c>
      <c r="D27" s="85" t="s">
        <v>25</v>
      </c>
      <c r="E27" s="96">
        <v>2011</v>
      </c>
      <c r="F27" s="85" t="s">
        <v>37</v>
      </c>
      <c r="G27" s="87">
        <f t="shared" si="0"/>
        <v>3785.0666666666666</v>
      </c>
      <c r="H27" s="87" t="s">
        <v>209</v>
      </c>
      <c r="I27" s="88">
        <v>150</v>
      </c>
      <c r="J27" s="89">
        <v>4.7</v>
      </c>
      <c r="K27" s="88">
        <f>120800*J27</f>
        <v>567760</v>
      </c>
      <c r="L27" s="91">
        <v>2</v>
      </c>
      <c r="M27" s="86">
        <v>387</v>
      </c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</row>
    <row r="28" spans="1:51" s="14" customFormat="1" ht="40.15" customHeight="1" x14ac:dyDescent="0.2">
      <c r="A28" s="85">
        <v>359</v>
      </c>
      <c r="B28" s="97" t="s">
        <v>63</v>
      </c>
      <c r="C28" s="98" t="s">
        <v>64</v>
      </c>
      <c r="D28" s="85" t="s">
        <v>65</v>
      </c>
      <c r="E28" s="96">
        <v>2012</v>
      </c>
      <c r="F28" s="85" t="s">
        <v>66</v>
      </c>
      <c r="G28" s="87">
        <f t="shared" si="0"/>
        <v>7369.89</v>
      </c>
      <c r="H28" s="87" t="s">
        <v>210</v>
      </c>
      <c r="I28" s="88">
        <v>150</v>
      </c>
      <c r="J28" s="89">
        <v>5.0599999999999996</v>
      </c>
      <c r="K28" s="88">
        <f>218475*J28</f>
        <v>1105483.5</v>
      </c>
      <c r="L28" s="90">
        <v>3</v>
      </c>
      <c r="M28" s="86">
        <v>388</v>
      </c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</row>
    <row r="29" spans="1:51" s="14" customFormat="1" ht="45" customHeight="1" x14ac:dyDescent="0.2">
      <c r="A29" s="85">
        <v>360</v>
      </c>
      <c r="B29" s="86" t="s">
        <v>69</v>
      </c>
      <c r="C29" s="98" t="s">
        <v>64</v>
      </c>
      <c r="D29" s="85" t="s">
        <v>25</v>
      </c>
      <c r="E29" s="96">
        <v>2012</v>
      </c>
      <c r="F29" s="85" t="s">
        <v>26</v>
      </c>
      <c r="G29" s="87">
        <f t="shared" si="0"/>
        <v>7069.8316666666669</v>
      </c>
      <c r="H29" s="87" t="s">
        <v>211</v>
      </c>
      <c r="I29" s="88">
        <v>150</v>
      </c>
      <c r="J29" s="89">
        <v>5.05</v>
      </c>
      <c r="K29" s="88">
        <f>209995*J29</f>
        <v>1060474.75</v>
      </c>
      <c r="L29" s="90">
        <v>4</v>
      </c>
      <c r="M29" s="86">
        <v>389</v>
      </c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</row>
    <row r="30" spans="1:51" s="14" customFormat="1" ht="34.9" customHeight="1" x14ac:dyDescent="0.2">
      <c r="A30" s="85">
        <v>361</v>
      </c>
      <c r="B30" s="86" t="s">
        <v>70</v>
      </c>
      <c r="C30" s="96">
        <v>1998</v>
      </c>
      <c r="D30" s="85" t="s">
        <v>71</v>
      </c>
      <c r="E30" s="96">
        <v>2012</v>
      </c>
      <c r="F30" s="85" t="s">
        <v>29</v>
      </c>
      <c r="G30" s="87">
        <f t="shared" si="0"/>
        <v>14335.454</v>
      </c>
      <c r="H30" s="87" t="s">
        <v>212</v>
      </c>
      <c r="I30" s="88">
        <v>150</v>
      </c>
      <c r="J30" s="89">
        <v>4.93</v>
      </c>
      <c r="K30" s="88">
        <f>436170*J30</f>
        <v>2150318.1</v>
      </c>
      <c r="L30" s="91">
        <v>5</v>
      </c>
      <c r="M30" s="86">
        <v>390</v>
      </c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</row>
    <row r="31" spans="1:51" s="14" customFormat="1" ht="32.450000000000003" customHeight="1" x14ac:dyDescent="0.2">
      <c r="A31" s="85">
        <v>362</v>
      </c>
      <c r="B31" s="92" t="s">
        <v>72</v>
      </c>
      <c r="C31" s="98" t="s">
        <v>73</v>
      </c>
      <c r="D31" s="85" t="s">
        <v>25</v>
      </c>
      <c r="E31" s="96">
        <v>2012</v>
      </c>
      <c r="F31" s="85" t="s">
        <v>37</v>
      </c>
      <c r="G31" s="87">
        <f t="shared" si="0"/>
        <v>12718.085333333333</v>
      </c>
      <c r="H31" s="87" t="s">
        <v>213</v>
      </c>
      <c r="I31" s="88">
        <v>150</v>
      </c>
      <c r="J31" s="89">
        <v>4.93</v>
      </c>
      <c r="K31" s="88">
        <f>386960*J31</f>
        <v>1907712.7999999998</v>
      </c>
      <c r="L31" s="90">
        <v>6</v>
      </c>
      <c r="M31" s="86">
        <v>391</v>
      </c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</row>
    <row r="32" spans="1:51" s="14" customFormat="1" ht="43.15" customHeight="1" x14ac:dyDescent="0.2">
      <c r="A32" s="85">
        <v>363</v>
      </c>
      <c r="B32" s="85" t="s">
        <v>74</v>
      </c>
      <c r="C32" s="98" t="s">
        <v>75</v>
      </c>
      <c r="D32" s="85" t="s">
        <v>76</v>
      </c>
      <c r="E32" s="96">
        <v>2012</v>
      </c>
      <c r="F32" s="85" t="s">
        <v>29</v>
      </c>
      <c r="G32" s="87">
        <f t="shared" si="0"/>
        <v>7281.61</v>
      </c>
      <c r="H32" s="87" t="s">
        <v>214</v>
      </c>
      <c r="I32" s="88">
        <v>150</v>
      </c>
      <c r="J32" s="89">
        <v>4.93</v>
      </c>
      <c r="K32" s="88">
        <f>221550*J32</f>
        <v>1092241.5</v>
      </c>
      <c r="L32" s="91">
        <v>7</v>
      </c>
      <c r="M32" s="86">
        <v>392</v>
      </c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</row>
    <row r="33" spans="1:51" s="25" customFormat="1" ht="30.6" customHeight="1" x14ac:dyDescent="0.2">
      <c r="A33" s="85"/>
      <c r="B33" s="86" t="s">
        <v>77</v>
      </c>
      <c r="C33" s="98" t="s">
        <v>64</v>
      </c>
      <c r="D33" s="85" t="s">
        <v>25</v>
      </c>
      <c r="E33" s="96" t="s">
        <v>78</v>
      </c>
      <c r="F33" s="85" t="s">
        <v>37</v>
      </c>
      <c r="G33" s="87">
        <f t="shared" si="0"/>
        <v>12718.085333333333</v>
      </c>
      <c r="H33" s="87" t="s">
        <v>213</v>
      </c>
      <c r="I33" s="88">
        <v>150</v>
      </c>
      <c r="J33" s="89">
        <v>4.93</v>
      </c>
      <c r="K33" s="88">
        <f>386960*J33</f>
        <v>1907712.7999999998</v>
      </c>
      <c r="L33" s="91">
        <v>8</v>
      </c>
      <c r="M33" s="86">
        <v>393</v>
      </c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</row>
    <row r="34" spans="1:51" s="14" customFormat="1" ht="29.45" customHeight="1" x14ac:dyDescent="0.2">
      <c r="A34" s="85"/>
      <c r="B34" s="86" t="s">
        <v>79</v>
      </c>
      <c r="C34" s="98" t="s">
        <v>80</v>
      </c>
      <c r="D34" s="85" t="s">
        <v>25</v>
      </c>
      <c r="E34" s="96" t="s">
        <v>81</v>
      </c>
      <c r="F34" s="85" t="s">
        <v>37</v>
      </c>
      <c r="G34" s="87">
        <f t="shared" si="0"/>
        <v>12718.085333333333</v>
      </c>
      <c r="H34" s="87" t="s">
        <v>213</v>
      </c>
      <c r="I34" s="88">
        <v>150</v>
      </c>
      <c r="J34" s="89">
        <v>4.93</v>
      </c>
      <c r="K34" s="88">
        <f>386960*J34</f>
        <v>1907712.7999999998</v>
      </c>
      <c r="L34" s="91">
        <v>9</v>
      </c>
      <c r="M34" s="86">
        <v>394</v>
      </c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</row>
    <row r="35" spans="1:51" s="14" customFormat="1" ht="33" customHeight="1" x14ac:dyDescent="0.2">
      <c r="A35" s="85">
        <v>364</v>
      </c>
      <c r="B35" s="86" t="s">
        <v>83</v>
      </c>
      <c r="C35" s="96">
        <v>2011</v>
      </c>
      <c r="D35" s="85" t="s">
        <v>25</v>
      </c>
      <c r="E35" s="96">
        <v>2012</v>
      </c>
      <c r="F35" s="85" t="s">
        <v>84</v>
      </c>
      <c r="G35" s="88">
        <f t="shared" si="0"/>
        <v>19423</v>
      </c>
      <c r="H35" s="87" t="s">
        <v>85</v>
      </c>
      <c r="I35" s="88">
        <v>150</v>
      </c>
      <c r="J35" s="89">
        <v>194.23</v>
      </c>
      <c r="K35" s="88">
        <f>15000*J35</f>
        <v>2913450</v>
      </c>
      <c r="L35" s="91">
        <v>10</v>
      </c>
      <c r="M35" s="86">
        <v>395</v>
      </c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</row>
    <row r="36" spans="1:51" s="76" customFormat="1" ht="30.6" customHeight="1" x14ac:dyDescent="0.2">
      <c r="A36" s="85">
        <v>365</v>
      </c>
      <c r="B36" s="86" t="s">
        <v>86</v>
      </c>
      <c r="C36" s="96">
        <v>2005</v>
      </c>
      <c r="D36" s="85" t="s">
        <v>87</v>
      </c>
      <c r="E36" s="96">
        <v>2012</v>
      </c>
      <c r="F36" s="85" t="s">
        <v>88</v>
      </c>
      <c r="G36" s="99">
        <f t="shared" si="0"/>
        <v>41913.333333333336</v>
      </c>
      <c r="H36" s="100" t="s">
        <v>202</v>
      </c>
      <c r="I36" s="88">
        <v>150</v>
      </c>
      <c r="J36" s="89">
        <v>251.48</v>
      </c>
      <c r="K36" s="88">
        <f>25000*J36</f>
        <v>6287000</v>
      </c>
      <c r="L36" s="91">
        <v>11</v>
      </c>
      <c r="M36" s="86">
        <v>396</v>
      </c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</row>
    <row r="37" spans="1:51" s="14" customFormat="1" ht="42" customHeight="1" x14ac:dyDescent="0.2">
      <c r="A37" s="85">
        <v>366</v>
      </c>
      <c r="B37" s="86" t="s">
        <v>89</v>
      </c>
      <c r="C37" s="96">
        <v>1997</v>
      </c>
      <c r="D37" s="85" t="s">
        <v>90</v>
      </c>
      <c r="E37" s="96">
        <v>2012</v>
      </c>
      <c r="F37" s="85" t="s">
        <v>55</v>
      </c>
      <c r="G37" s="87">
        <f t="shared" si="0"/>
        <v>2794.6432000000004</v>
      </c>
      <c r="H37" s="87" t="s">
        <v>215</v>
      </c>
      <c r="I37" s="88">
        <v>150</v>
      </c>
      <c r="J37" s="89">
        <v>4.9800000000000004</v>
      </c>
      <c r="K37" s="88">
        <f>84176*J37</f>
        <v>419196.48000000004</v>
      </c>
      <c r="L37" s="90">
        <v>12</v>
      </c>
      <c r="M37" s="86">
        <v>397</v>
      </c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</row>
    <row r="38" spans="1:51" s="14" customFormat="1" ht="46.15" customHeight="1" x14ac:dyDescent="0.2">
      <c r="A38" s="85">
        <v>367</v>
      </c>
      <c r="B38" s="85" t="s">
        <v>24</v>
      </c>
      <c r="C38" s="85">
        <v>2008</v>
      </c>
      <c r="D38" s="85" t="s">
        <v>25</v>
      </c>
      <c r="E38" s="85">
        <v>2012</v>
      </c>
      <c r="F38" s="85" t="s">
        <v>26</v>
      </c>
      <c r="G38" s="87">
        <f t="shared" si="0"/>
        <v>5711.5619999999999</v>
      </c>
      <c r="H38" s="87" t="s">
        <v>216</v>
      </c>
      <c r="I38" s="88">
        <v>150</v>
      </c>
      <c r="J38" s="89">
        <v>4.9800000000000004</v>
      </c>
      <c r="K38" s="88">
        <f>172035*J38</f>
        <v>856734.3</v>
      </c>
      <c r="L38" s="91">
        <v>13</v>
      </c>
      <c r="M38" s="86">
        <v>398</v>
      </c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</row>
    <row r="39" spans="1:51" s="14" customFormat="1" ht="41.45" customHeight="1" x14ac:dyDescent="0.2">
      <c r="A39" s="85">
        <v>368</v>
      </c>
      <c r="B39" s="85" t="s">
        <v>91</v>
      </c>
      <c r="C39" s="85">
        <v>1994</v>
      </c>
      <c r="D39" s="85" t="s">
        <v>19</v>
      </c>
      <c r="E39" s="85">
        <v>2012</v>
      </c>
      <c r="F39" s="85" t="s">
        <v>92</v>
      </c>
      <c r="G39" s="87">
        <f t="shared" si="0"/>
        <v>9002.5333333333328</v>
      </c>
      <c r="H39" s="87" t="s">
        <v>195</v>
      </c>
      <c r="I39" s="88">
        <v>150</v>
      </c>
      <c r="J39" s="89">
        <v>5.0199999999999996</v>
      </c>
      <c r="K39" s="88">
        <f>269000*J39</f>
        <v>1350380</v>
      </c>
      <c r="L39" s="91">
        <v>14</v>
      </c>
      <c r="M39" s="86">
        <v>399</v>
      </c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</row>
    <row r="40" spans="1:51" s="14" customFormat="1" ht="42" customHeight="1" x14ac:dyDescent="0.2">
      <c r="A40" s="85">
        <v>369</v>
      </c>
      <c r="B40" s="85" t="s">
        <v>93</v>
      </c>
      <c r="C40" s="96">
        <v>2007</v>
      </c>
      <c r="D40" s="85" t="s">
        <v>57</v>
      </c>
      <c r="E40" s="85">
        <v>2012</v>
      </c>
      <c r="F40" s="85" t="s">
        <v>13</v>
      </c>
      <c r="G40" s="87">
        <f t="shared" si="0"/>
        <v>1473.5373333333332</v>
      </c>
      <c r="H40" s="87" t="s">
        <v>217</v>
      </c>
      <c r="I40" s="88">
        <v>150</v>
      </c>
      <c r="J40" s="89">
        <v>5.0199999999999996</v>
      </c>
      <c r="K40" s="88">
        <f>44030*J40</f>
        <v>221030.59999999998</v>
      </c>
      <c r="L40" s="90">
        <v>15</v>
      </c>
      <c r="M40" s="86">
        <v>400</v>
      </c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</row>
    <row r="41" spans="1:51" s="14" customFormat="1" ht="42" customHeight="1" x14ac:dyDescent="0.2">
      <c r="A41" s="85">
        <v>370</v>
      </c>
      <c r="B41" s="85" t="s">
        <v>94</v>
      </c>
      <c r="C41" s="96">
        <v>2010</v>
      </c>
      <c r="D41" s="85" t="s">
        <v>95</v>
      </c>
      <c r="E41" s="85">
        <v>2012</v>
      </c>
      <c r="F41" s="85" t="s">
        <v>16</v>
      </c>
      <c r="G41" s="87">
        <f t="shared" si="0"/>
        <v>1283.5893333333336</v>
      </c>
      <c r="H41" s="87" t="s">
        <v>218</v>
      </c>
      <c r="I41" s="88">
        <v>150</v>
      </c>
      <c r="J41" s="89">
        <v>4.78</v>
      </c>
      <c r="K41" s="88">
        <f>40280*J41</f>
        <v>192538.40000000002</v>
      </c>
      <c r="L41" s="91">
        <v>16</v>
      </c>
      <c r="M41" s="86">
        <v>401</v>
      </c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</row>
    <row r="42" spans="1:51" s="67" customFormat="1" ht="40.9" customHeight="1" x14ac:dyDescent="0.2">
      <c r="A42" s="85">
        <v>371</v>
      </c>
      <c r="B42" s="86" t="s">
        <v>96</v>
      </c>
      <c r="C42" s="96">
        <v>2012</v>
      </c>
      <c r="D42" s="85" t="s">
        <v>57</v>
      </c>
      <c r="E42" s="85">
        <v>2012</v>
      </c>
      <c r="F42" s="85" t="s">
        <v>97</v>
      </c>
      <c r="G42" s="87">
        <v>1624</v>
      </c>
      <c r="H42" s="87" t="s">
        <v>219</v>
      </c>
      <c r="I42" s="88">
        <v>150</v>
      </c>
      <c r="J42" s="89"/>
      <c r="K42" s="88">
        <f t="shared" ref="K42:K87" si="1">G42*I42</f>
        <v>243600</v>
      </c>
      <c r="L42" s="91">
        <v>17</v>
      </c>
      <c r="M42" s="86">
        <v>402</v>
      </c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</row>
    <row r="43" spans="1:51" s="14" customFormat="1" ht="32.450000000000003" customHeight="1" x14ac:dyDescent="0.2">
      <c r="A43" s="101">
        <v>372</v>
      </c>
      <c r="B43" s="101" t="s">
        <v>34</v>
      </c>
      <c r="C43" s="102">
        <v>2005</v>
      </c>
      <c r="D43" s="101" t="s">
        <v>98</v>
      </c>
      <c r="E43" s="101">
        <v>2012</v>
      </c>
      <c r="F43" s="103" t="s">
        <v>99</v>
      </c>
      <c r="G43" s="104">
        <f t="shared" ref="G43:G63" si="2">K43/I43</f>
        <v>2669.248</v>
      </c>
      <c r="H43" s="104" t="s">
        <v>220</v>
      </c>
      <c r="I43" s="88">
        <v>150</v>
      </c>
      <c r="J43" s="89">
        <v>4.66</v>
      </c>
      <c r="K43" s="88">
        <f>85920*J43</f>
        <v>400387.2</v>
      </c>
      <c r="L43" s="106">
        <v>18</v>
      </c>
      <c r="M43" s="92">
        <v>403</v>
      </c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</row>
    <row r="44" spans="1:51" s="14" customFormat="1" ht="42.6" customHeight="1" x14ac:dyDescent="0.2">
      <c r="A44" s="85"/>
      <c r="B44" s="85" t="s">
        <v>14</v>
      </c>
      <c r="C44" s="96">
        <v>2008</v>
      </c>
      <c r="D44" s="85" t="s">
        <v>15</v>
      </c>
      <c r="E44" s="85" t="s">
        <v>102</v>
      </c>
      <c r="F44" s="85" t="s">
        <v>16</v>
      </c>
      <c r="G44" s="87">
        <f t="shared" si="2"/>
        <v>1271.5586666666668</v>
      </c>
      <c r="H44" s="87" t="s">
        <v>221</v>
      </c>
      <c r="I44" s="88">
        <v>150</v>
      </c>
      <c r="J44" s="89">
        <v>4.66</v>
      </c>
      <c r="K44" s="88">
        <f>40930*J44</f>
        <v>190733.80000000002</v>
      </c>
      <c r="L44" s="91">
        <v>19</v>
      </c>
      <c r="M44" s="86">
        <v>404</v>
      </c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</row>
    <row r="45" spans="1:51" s="67" customFormat="1" ht="58.9" customHeight="1" x14ac:dyDescent="0.2">
      <c r="A45" s="107"/>
      <c r="B45" s="85" t="s">
        <v>103</v>
      </c>
      <c r="C45" s="96">
        <v>1995</v>
      </c>
      <c r="D45" s="85" t="s">
        <v>104</v>
      </c>
      <c r="E45" s="85" t="s">
        <v>105</v>
      </c>
      <c r="F45" s="85" t="s">
        <v>106</v>
      </c>
      <c r="G45" s="87">
        <f t="shared" si="2"/>
        <v>19968.761472000002</v>
      </c>
      <c r="H45" s="112" t="s">
        <v>199</v>
      </c>
      <c r="I45" s="88">
        <v>150</v>
      </c>
      <c r="J45" s="89">
        <v>195.36</v>
      </c>
      <c r="K45" s="88">
        <f>15332.28*J45</f>
        <v>2995314.2208000002</v>
      </c>
      <c r="L45" s="90">
        <v>20</v>
      </c>
      <c r="M45" s="86">
        <v>405</v>
      </c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</row>
    <row r="46" spans="1:51" s="14" customFormat="1" ht="55.9" customHeight="1" x14ac:dyDescent="0.2">
      <c r="A46" s="107">
        <v>373</v>
      </c>
      <c r="B46" s="85" t="s">
        <v>41</v>
      </c>
      <c r="C46" s="85">
        <v>2011</v>
      </c>
      <c r="D46" s="85" t="s">
        <v>107</v>
      </c>
      <c r="E46" s="85">
        <v>2012</v>
      </c>
      <c r="F46" s="85" t="s">
        <v>43</v>
      </c>
      <c r="G46" s="87">
        <f t="shared" si="2"/>
        <v>2543.9999999999995</v>
      </c>
      <c r="H46" s="87" t="s">
        <v>222</v>
      </c>
      <c r="I46" s="88">
        <v>150</v>
      </c>
      <c r="J46" s="89">
        <v>4.7699999999999996</v>
      </c>
      <c r="K46" s="88">
        <f>80000*J46</f>
        <v>381599.99999999994</v>
      </c>
      <c r="L46" s="90">
        <v>21</v>
      </c>
      <c r="M46" s="86">
        <v>406</v>
      </c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</row>
    <row r="47" spans="1:51" s="12" customFormat="1" ht="43.15" customHeight="1" x14ac:dyDescent="0.2">
      <c r="A47" s="107"/>
      <c r="B47" s="86" t="s">
        <v>89</v>
      </c>
      <c r="C47" s="96">
        <v>1997</v>
      </c>
      <c r="D47" s="85" t="s">
        <v>90</v>
      </c>
      <c r="E47" s="85" t="s">
        <v>100</v>
      </c>
      <c r="F47" s="85" t="s">
        <v>55</v>
      </c>
      <c r="G47" s="87">
        <f t="shared" si="2"/>
        <v>1170.7198619999999</v>
      </c>
      <c r="H47" s="87" t="s">
        <v>223</v>
      </c>
      <c r="I47" s="88">
        <v>150</v>
      </c>
      <c r="J47" s="89">
        <v>4.7699999999999996</v>
      </c>
      <c r="K47" s="88">
        <f>36815.09*J47</f>
        <v>175607.97929999998</v>
      </c>
      <c r="L47" s="90"/>
      <c r="M47" s="8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</row>
    <row r="48" spans="1:51" s="12" customFormat="1" ht="45" customHeight="1" x14ac:dyDescent="0.2">
      <c r="A48" s="107">
        <v>374</v>
      </c>
      <c r="B48" s="85" t="s">
        <v>109</v>
      </c>
      <c r="C48" s="85">
        <v>1999</v>
      </c>
      <c r="D48" s="85" t="s">
        <v>76</v>
      </c>
      <c r="E48" s="85">
        <v>2012</v>
      </c>
      <c r="F48" s="85" t="s">
        <v>110</v>
      </c>
      <c r="G48" s="87">
        <f t="shared" si="2"/>
        <v>9282.5789999999997</v>
      </c>
      <c r="H48" s="87" t="s">
        <v>224</v>
      </c>
      <c r="I48" s="88">
        <v>150</v>
      </c>
      <c r="J48" s="89">
        <v>4.7699999999999996</v>
      </c>
      <c r="K48" s="88">
        <f>291905*J48</f>
        <v>1392386.8499999999</v>
      </c>
      <c r="L48" s="90">
        <v>22</v>
      </c>
      <c r="M48" s="86">
        <v>407</v>
      </c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</row>
    <row r="49" spans="1:51" s="14" customFormat="1" ht="32.450000000000003" customHeight="1" x14ac:dyDescent="0.2">
      <c r="A49" s="107"/>
      <c r="B49" s="85" t="s">
        <v>111</v>
      </c>
      <c r="C49" s="85">
        <v>2008</v>
      </c>
      <c r="D49" s="85" t="s">
        <v>31</v>
      </c>
      <c r="E49" s="85" t="s">
        <v>112</v>
      </c>
      <c r="F49" s="85" t="s">
        <v>37</v>
      </c>
      <c r="G49" s="87">
        <f t="shared" si="2"/>
        <v>5480.73</v>
      </c>
      <c r="H49" s="87" t="s">
        <v>225</v>
      </c>
      <c r="I49" s="88">
        <v>150</v>
      </c>
      <c r="J49" s="89">
        <v>4.7699999999999996</v>
      </c>
      <c r="K49" s="88">
        <f>172350*J49</f>
        <v>822109.49999999988</v>
      </c>
      <c r="L49" s="90">
        <v>23</v>
      </c>
      <c r="M49" s="86">
        <v>408</v>
      </c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</row>
    <row r="50" spans="1:51" s="14" customFormat="1" ht="29.45" customHeight="1" x14ac:dyDescent="0.2">
      <c r="A50" s="107"/>
      <c r="B50" s="85" t="s">
        <v>34</v>
      </c>
      <c r="C50" s="85">
        <v>2005</v>
      </c>
      <c r="D50" s="85" t="s">
        <v>98</v>
      </c>
      <c r="E50" s="85" t="s">
        <v>105</v>
      </c>
      <c r="F50" s="103" t="s">
        <v>113</v>
      </c>
      <c r="G50" s="87">
        <f t="shared" si="2"/>
        <v>2807.1680000000001</v>
      </c>
      <c r="H50" s="87" t="s">
        <v>226</v>
      </c>
      <c r="I50" s="88">
        <v>150</v>
      </c>
      <c r="J50" s="89">
        <v>4.82</v>
      </c>
      <c r="K50" s="88">
        <f>87360*J50</f>
        <v>421075.20000000001</v>
      </c>
      <c r="L50" s="90">
        <v>24</v>
      </c>
      <c r="M50" s="86">
        <v>409</v>
      </c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</row>
    <row r="51" spans="1:51" s="26" customFormat="1" ht="30.6" customHeight="1" x14ac:dyDescent="0.2">
      <c r="A51" s="107"/>
      <c r="B51" s="85" t="s">
        <v>114</v>
      </c>
      <c r="C51" s="85">
        <v>2009</v>
      </c>
      <c r="D51" s="85" t="s">
        <v>25</v>
      </c>
      <c r="E51" s="85" t="s">
        <v>105</v>
      </c>
      <c r="F51" s="85" t="s">
        <v>37</v>
      </c>
      <c r="G51" s="87">
        <f t="shared" si="2"/>
        <v>12434.314666666667</v>
      </c>
      <c r="H51" s="87" t="s">
        <v>213</v>
      </c>
      <c r="I51" s="88">
        <v>150</v>
      </c>
      <c r="J51" s="89">
        <v>4.82</v>
      </c>
      <c r="K51" s="88">
        <f>386960*J51</f>
        <v>1865147.2000000002</v>
      </c>
      <c r="L51" s="90">
        <v>25</v>
      </c>
      <c r="M51" s="90">
        <v>410</v>
      </c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</row>
    <row r="52" spans="1:51" s="6" customFormat="1" ht="42" customHeight="1" x14ac:dyDescent="0.2">
      <c r="A52" s="107">
        <v>375</v>
      </c>
      <c r="B52" s="85" t="s">
        <v>115</v>
      </c>
      <c r="C52" s="85">
        <v>2012</v>
      </c>
      <c r="D52" s="85" t="s">
        <v>116</v>
      </c>
      <c r="E52" s="85">
        <v>2012</v>
      </c>
      <c r="F52" s="85" t="s">
        <v>117</v>
      </c>
      <c r="G52" s="87">
        <f t="shared" si="2"/>
        <v>5326.5820000000003</v>
      </c>
      <c r="H52" s="87" t="s">
        <v>227</v>
      </c>
      <c r="I52" s="88">
        <v>150</v>
      </c>
      <c r="J52" s="89">
        <v>4.82</v>
      </c>
      <c r="K52" s="88">
        <f>165765*J52</f>
        <v>798987.3</v>
      </c>
      <c r="L52" s="90">
        <v>26</v>
      </c>
      <c r="M52" s="90">
        <v>411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</row>
    <row r="53" spans="1:51" s="6" customFormat="1" ht="41.45" customHeight="1" x14ac:dyDescent="0.2">
      <c r="A53" s="107">
        <v>376</v>
      </c>
      <c r="B53" s="85" t="s">
        <v>118</v>
      </c>
      <c r="C53" s="85">
        <v>2008</v>
      </c>
      <c r="D53" s="85" t="s">
        <v>119</v>
      </c>
      <c r="E53" s="85">
        <v>2012</v>
      </c>
      <c r="F53" s="85" t="s">
        <v>120</v>
      </c>
      <c r="G53" s="87">
        <f t="shared" si="2"/>
        <v>1869.0333333333333</v>
      </c>
      <c r="H53" s="87" t="s">
        <v>228</v>
      </c>
      <c r="I53" s="88">
        <v>150</v>
      </c>
      <c r="J53" s="89">
        <v>4.7</v>
      </c>
      <c r="K53" s="88">
        <f>59650*J53</f>
        <v>280355</v>
      </c>
      <c r="L53" s="90">
        <v>27</v>
      </c>
      <c r="M53" s="90">
        <v>412</v>
      </c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</row>
    <row r="54" spans="1:51" s="6" customFormat="1" ht="32.450000000000003" customHeight="1" x14ac:dyDescent="0.2">
      <c r="A54" s="107">
        <v>377</v>
      </c>
      <c r="B54" s="85" t="s">
        <v>22</v>
      </c>
      <c r="C54" s="85">
        <v>2010</v>
      </c>
      <c r="D54" s="85" t="s">
        <v>23</v>
      </c>
      <c r="E54" s="85">
        <v>2012</v>
      </c>
      <c r="F54" s="85" t="s">
        <v>121</v>
      </c>
      <c r="G54" s="87">
        <f t="shared" si="2"/>
        <v>1191.4533333333334</v>
      </c>
      <c r="H54" s="87" t="s">
        <v>229</v>
      </c>
      <c r="I54" s="88">
        <v>150</v>
      </c>
      <c r="J54" s="89">
        <v>4.63</v>
      </c>
      <c r="K54" s="88">
        <f>38600*J54</f>
        <v>178718</v>
      </c>
      <c r="L54" s="90">
        <v>28</v>
      </c>
      <c r="M54" s="90">
        <v>413</v>
      </c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51" s="69" customFormat="1" ht="33.6" customHeight="1" x14ac:dyDescent="0.2">
      <c r="A55" s="107">
        <v>378</v>
      </c>
      <c r="B55" s="85" t="s">
        <v>122</v>
      </c>
      <c r="C55" s="85">
        <v>2007</v>
      </c>
      <c r="D55" s="85" t="s">
        <v>25</v>
      </c>
      <c r="E55" s="85">
        <v>2012</v>
      </c>
      <c r="F55" s="85" t="s">
        <v>123</v>
      </c>
      <c r="G55" s="87">
        <f t="shared" si="2"/>
        <v>802.56893866666655</v>
      </c>
      <c r="H55" s="108" t="s">
        <v>203</v>
      </c>
      <c r="I55" s="88">
        <v>150</v>
      </c>
      <c r="J55" s="89">
        <v>195.38</v>
      </c>
      <c r="K55" s="88">
        <f>616.16*J55</f>
        <v>120385.34079999999</v>
      </c>
      <c r="L55" s="90">
        <v>29</v>
      </c>
      <c r="M55" s="86">
        <v>414</v>
      </c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51" s="6" customFormat="1" ht="33.6" customHeight="1" x14ac:dyDescent="0.2">
      <c r="A56" s="107">
        <v>379</v>
      </c>
      <c r="B56" s="85" t="s">
        <v>124</v>
      </c>
      <c r="C56" s="85">
        <v>2009</v>
      </c>
      <c r="D56" s="85" t="s">
        <v>125</v>
      </c>
      <c r="E56" s="85">
        <v>2012</v>
      </c>
      <c r="F56" s="85" t="s">
        <v>126</v>
      </c>
      <c r="G56" s="87">
        <f t="shared" si="2"/>
        <v>1758.54072</v>
      </c>
      <c r="H56" s="87" t="s">
        <v>230</v>
      </c>
      <c r="I56" s="88">
        <v>150</v>
      </c>
      <c r="J56" s="89">
        <v>4.6500000000000004</v>
      </c>
      <c r="K56" s="88">
        <f>56727.12*J56</f>
        <v>263781.10800000001</v>
      </c>
      <c r="L56" s="90">
        <v>30</v>
      </c>
      <c r="M56" s="90">
        <v>415</v>
      </c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51" s="63" customFormat="1" ht="33.6" customHeight="1" x14ac:dyDescent="0.2">
      <c r="A57" s="107">
        <v>380</v>
      </c>
      <c r="B57" s="85" t="s">
        <v>127</v>
      </c>
      <c r="C57" s="85">
        <v>1998</v>
      </c>
      <c r="D57" s="85" t="s">
        <v>35</v>
      </c>
      <c r="E57" s="85">
        <v>2012</v>
      </c>
      <c r="F57" s="103" t="s">
        <v>99</v>
      </c>
      <c r="G57" s="87">
        <f t="shared" si="2"/>
        <v>2708.1600000000003</v>
      </c>
      <c r="H57" s="87" t="s">
        <v>226</v>
      </c>
      <c r="I57" s="88">
        <v>150</v>
      </c>
      <c r="J57" s="89">
        <v>4.6500000000000004</v>
      </c>
      <c r="K57" s="88">
        <f>87360*J57</f>
        <v>406224.00000000006</v>
      </c>
      <c r="L57" s="90">
        <v>31</v>
      </c>
      <c r="M57" s="90">
        <v>416</v>
      </c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51" s="68" customFormat="1" ht="51" customHeight="1" x14ac:dyDescent="0.2">
      <c r="A58" s="107"/>
      <c r="B58" s="85" t="s">
        <v>114</v>
      </c>
      <c r="C58" s="85">
        <v>2009</v>
      </c>
      <c r="D58" s="85" t="s">
        <v>25</v>
      </c>
      <c r="E58" s="85" t="s">
        <v>128</v>
      </c>
      <c r="F58" s="85" t="s">
        <v>37</v>
      </c>
      <c r="G58" s="87">
        <f t="shared" si="2"/>
        <v>12047.354666666666</v>
      </c>
      <c r="H58" s="87" t="s">
        <v>213</v>
      </c>
      <c r="I58" s="88">
        <v>150</v>
      </c>
      <c r="J58" s="89">
        <v>4.67</v>
      </c>
      <c r="K58" s="88">
        <f>386960*J58</f>
        <v>1807103.2</v>
      </c>
      <c r="L58" s="90"/>
      <c r="M58" s="90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</row>
    <row r="59" spans="1:51" s="15" customFormat="1" ht="32.450000000000003" customHeight="1" x14ac:dyDescent="0.2">
      <c r="A59" s="107">
        <v>381</v>
      </c>
      <c r="B59" s="85" t="s">
        <v>129</v>
      </c>
      <c r="C59" s="85">
        <v>2011</v>
      </c>
      <c r="D59" s="85" t="s">
        <v>44</v>
      </c>
      <c r="E59" s="85">
        <v>2012</v>
      </c>
      <c r="F59" s="85" t="s">
        <v>130</v>
      </c>
      <c r="G59" s="87">
        <f t="shared" si="2"/>
        <v>883.5</v>
      </c>
      <c r="H59" s="87" t="s">
        <v>231</v>
      </c>
      <c r="I59" s="88">
        <v>150</v>
      </c>
      <c r="J59" s="89">
        <v>4.6500000000000004</v>
      </c>
      <c r="K59" s="88">
        <f>28500*J59</f>
        <v>132525</v>
      </c>
      <c r="L59" s="90">
        <v>32</v>
      </c>
      <c r="M59" s="90">
        <v>417</v>
      </c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</row>
    <row r="60" spans="1:51" s="15" customFormat="1" ht="42" customHeight="1" x14ac:dyDescent="0.2">
      <c r="A60" s="85"/>
      <c r="B60" s="85" t="s">
        <v>131</v>
      </c>
      <c r="C60" s="85">
        <v>2011</v>
      </c>
      <c r="D60" s="85" t="s">
        <v>25</v>
      </c>
      <c r="E60" s="85" t="s">
        <v>132</v>
      </c>
      <c r="F60" s="85" t="s">
        <v>37</v>
      </c>
      <c r="G60" s="87">
        <f t="shared" si="2"/>
        <v>759.41333333333318</v>
      </c>
      <c r="H60" s="87" t="s">
        <v>232</v>
      </c>
      <c r="I60" s="88">
        <v>150</v>
      </c>
      <c r="J60" s="89">
        <v>4.6399999999999997</v>
      </c>
      <c r="K60" s="88">
        <f>24550*J60</f>
        <v>113911.99999999999</v>
      </c>
      <c r="L60" s="90"/>
      <c r="M60" s="90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</row>
    <row r="61" spans="1:51" s="15" customFormat="1" ht="43.15" customHeight="1" x14ac:dyDescent="0.2">
      <c r="A61" s="107"/>
      <c r="B61" s="101" t="s">
        <v>94</v>
      </c>
      <c r="C61" s="96">
        <v>2010</v>
      </c>
      <c r="D61" s="85" t="s">
        <v>95</v>
      </c>
      <c r="E61" s="85">
        <v>2012</v>
      </c>
      <c r="F61" s="85" t="s">
        <v>16</v>
      </c>
      <c r="G61" s="87">
        <f t="shared" si="2"/>
        <v>4270.6653333333334</v>
      </c>
      <c r="H61" s="87" t="s">
        <v>233</v>
      </c>
      <c r="I61" s="88">
        <v>150</v>
      </c>
      <c r="J61" s="89">
        <v>4.87</v>
      </c>
      <c r="K61" s="88">
        <f>131540*J61</f>
        <v>640599.80000000005</v>
      </c>
      <c r="L61" s="90">
        <v>33</v>
      </c>
      <c r="M61" s="90">
        <v>418</v>
      </c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</row>
    <row r="62" spans="1:51" s="15" customFormat="1" ht="31.9" customHeight="1" x14ac:dyDescent="0.2">
      <c r="A62" s="109">
        <v>382</v>
      </c>
      <c r="B62" s="94" t="s">
        <v>133</v>
      </c>
      <c r="C62" s="110">
        <v>2011</v>
      </c>
      <c r="D62" s="85" t="s">
        <v>108</v>
      </c>
      <c r="E62" s="85">
        <v>2012</v>
      </c>
      <c r="F62" s="85" t="s">
        <v>134</v>
      </c>
      <c r="G62" s="87">
        <f t="shared" si="2"/>
        <v>9740</v>
      </c>
      <c r="H62" s="87" t="s">
        <v>234</v>
      </c>
      <c r="I62" s="88">
        <v>150</v>
      </c>
      <c r="J62" s="89">
        <v>4.87</v>
      </c>
      <c r="K62" s="88">
        <f>300000*J62</f>
        <v>1461000</v>
      </c>
      <c r="L62" s="90">
        <v>34</v>
      </c>
      <c r="M62" s="90">
        <v>419</v>
      </c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</row>
    <row r="63" spans="1:51" s="15" customFormat="1" ht="32.450000000000003" customHeight="1" x14ac:dyDescent="0.2">
      <c r="A63" s="107">
        <v>383</v>
      </c>
      <c r="B63" s="111" t="s">
        <v>135</v>
      </c>
      <c r="C63" s="85">
        <v>1998</v>
      </c>
      <c r="D63" s="85" t="s">
        <v>17</v>
      </c>
      <c r="E63" s="85">
        <v>2012</v>
      </c>
      <c r="F63" s="85" t="s">
        <v>18</v>
      </c>
      <c r="G63" s="87">
        <f t="shared" si="2"/>
        <v>24301.200000000001</v>
      </c>
      <c r="H63" s="112" t="s">
        <v>194</v>
      </c>
      <c r="I63" s="88">
        <v>150</v>
      </c>
      <c r="J63" s="89">
        <v>202.51</v>
      </c>
      <c r="K63" s="88">
        <f>18000*J63</f>
        <v>3645180</v>
      </c>
      <c r="L63" s="90">
        <v>35</v>
      </c>
      <c r="M63" s="90">
        <v>420</v>
      </c>
      <c r="N63" s="82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</row>
    <row r="64" spans="1:51" s="75" customFormat="1" ht="55.15" customHeight="1" x14ac:dyDescent="0.2">
      <c r="A64" s="107">
        <v>384</v>
      </c>
      <c r="B64" s="111" t="s">
        <v>135</v>
      </c>
      <c r="C64" s="85">
        <v>1998</v>
      </c>
      <c r="D64" s="85" t="s">
        <v>17</v>
      </c>
      <c r="E64" s="85">
        <v>2012</v>
      </c>
      <c r="F64" s="94" t="s">
        <v>198</v>
      </c>
      <c r="G64" s="87">
        <v>6000</v>
      </c>
      <c r="H64" s="112"/>
      <c r="I64" s="88">
        <v>150</v>
      </c>
      <c r="J64" s="89"/>
      <c r="K64" s="88">
        <f>G64*I64</f>
        <v>900000</v>
      </c>
      <c r="L64" s="90">
        <v>36</v>
      </c>
      <c r="M64" s="90">
        <v>421</v>
      </c>
      <c r="N64" s="82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</row>
    <row r="65" spans="1:51" s="15" customFormat="1" ht="40.9" customHeight="1" x14ac:dyDescent="0.2">
      <c r="A65" s="107"/>
      <c r="B65" s="85" t="s">
        <v>30</v>
      </c>
      <c r="C65" s="85">
        <v>2011</v>
      </c>
      <c r="D65" s="85" t="s">
        <v>31</v>
      </c>
      <c r="E65" s="85" t="s">
        <v>82</v>
      </c>
      <c r="F65" s="85" t="s">
        <v>32</v>
      </c>
      <c r="G65" s="87">
        <f>K65/I65</f>
        <v>669.87266666666665</v>
      </c>
      <c r="H65" s="87" t="s">
        <v>235</v>
      </c>
      <c r="I65" s="88">
        <v>150</v>
      </c>
      <c r="J65" s="89">
        <v>4.8099999999999996</v>
      </c>
      <c r="K65" s="88">
        <f>20890*J65</f>
        <v>100480.9</v>
      </c>
      <c r="L65" s="90"/>
      <c r="M65" s="90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</row>
    <row r="66" spans="1:51" s="15" customFormat="1" ht="40.9" customHeight="1" x14ac:dyDescent="0.2">
      <c r="A66" s="107">
        <v>385</v>
      </c>
      <c r="B66" s="85" t="s">
        <v>20</v>
      </c>
      <c r="C66" s="85">
        <v>2010</v>
      </c>
      <c r="D66" s="85" t="s">
        <v>21</v>
      </c>
      <c r="E66" s="85">
        <v>2012</v>
      </c>
      <c r="F66" s="85" t="s">
        <v>136</v>
      </c>
      <c r="G66" s="87">
        <v>6322</v>
      </c>
      <c r="H66" s="112"/>
      <c r="I66" s="88">
        <v>150</v>
      </c>
      <c r="J66" s="89"/>
      <c r="K66" s="88">
        <f t="shared" si="1"/>
        <v>948300</v>
      </c>
      <c r="L66" s="90">
        <v>37</v>
      </c>
      <c r="M66" s="90">
        <v>422</v>
      </c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</row>
    <row r="67" spans="1:51" s="15" customFormat="1" ht="43.9" customHeight="1" x14ac:dyDescent="0.2">
      <c r="A67" s="107">
        <v>386</v>
      </c>
      <c r="B67" s="85" t="s">
        <v>40</v>
      </c>
      <c r="C67" s="85">
        <v>2012</v>
      </c>
      <c r="D67" s="85" t="s">
        <v>31</v>
      </c>
      <c r="E67" s="85">
        <v>2012</v>
      </c>
      <c r="F67" s="85" t="s">
        <v>32</v>
      </c>
      <c r="G67" s="87">
        <f t="shared" ref="G67:G73" si="3">K67/I67</f>
        <v>3561.6125999999999</v>
      </c>
      <c r="H67" s="87" t="s">
        <v>236</v>
      </c>
      <c r="I67" s="88">
        <v>150</v>
      </c>
      <c r="J67" s="89">
        <v>4.8099999999999996</v>
      </c>
      <c r="K67" s="88">
        <f>111069*J67</f>
        <v>534241.89</v>
      </c>
      <c r="L67" s="90">
        <v>38</v>
      </c>
      <c r="M67" s="90">
        <v>423</v>
      </c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</row>
    <row r="68" spans="1:51" s="15" customFormat="1" ht="34.9" customHeight="1" x14ac:dyDescent="0.2">
      <c r="A68" s="107">
        <v>387</v>
      </c>
      <c r="B68" s="85" t="s">
        <v>137</v>
      </c>
      <c r="C68" s="85">
        <v>1996</v>
      </c>
      <c r="D68" s="85" t="s">
        <v>138</v>
      </c>
      <c r="E68" s="85">
        <v>2012</v>
      </c>
      <c r="F68" s="85" t="s">
        <v>139</v>
      </c>
      <c r="G68" s="87">
        <f t="shared" si="3"/>
        <v>4168.666666666667</v>
      </c>
      <c r="H68" s="87" t="s">
        <v>237</v>
      </c>
      <c r="I68" s="88">
        <v>150</v>
      </c>
      <c r="J68" s="89">
        <v>4.8099999999999996</v>
      </c>
      <c r="K68" s="88">
        <f>130000*J68</f>
        <v>625300</v>
      </c>
      <c r="L68" s="90">
        <v>39</v>
      </c>
      <c r="M68" s="90">
        <v>424</v>
      </c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</row>
    <row r="69" spans="1:51" s="15" customFormat="1" ht="34.9" customHeight="1" x14ac:dyDescent="0.2">
      <c r="A69" s="107"/>
      <c r="B69" s="85" t="s">
        <v>34</v>
      </c>
      <c r="C69" s="85">
        <v>2005</v>
      </c>
      <c r="D69" s="85" t="s">
        <v>98</v>
      </c>
      <c r="E69" s="85" t="s">
        <v>81</v>
      </c>
      <c r="F69" s="103" t="s">
        <v>36</v>
      </c>
      <c r="G69" s="87">
        <f t="shared" si="3"/>
        <v>2708.1600000000003</v>
      </c>
      <c r="H69" s="87" t="s">
        <v>226</v>
      </c>
      <c r="I69" s="88">
        <v>150</v>
      </c>
      <c r="J69" s="89">
        <v>4.6500000000000004</v>
      </c>
      <c r="K69" s="88">
        <f>87360*J69</f>
        <v>406224.00000000006</v>
      </c>
      <c r="L69" s="90">
        <v>40</v>
      </c>
      <c r="M69" s="90">
        <v>425</v>
      </c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</row>
    <row r="70" spans="1:51" s="15" customFormat="1" ht="42" customHeight="1" x14ac:dyDescent="0.2">
      <c r="A70" s="107">
        <v>388</v>
      </c>
      <c r="B70" s="85" t="s">
        <v>140</v>
      </c>
      <c r="C70" s="85">
        <v>2011</v>
      </c>
      <c r="D70" s="85" t="s">
        <v>141</v>
      </c>
      <c r="E70" s="85">
        <v>2012</v>
      </c>
      <c r="F70" s="85" t="s">
        <v>142</v>
      </c>
      <c r="G70" s="87">
        <f t="shared" si="3"/>
        <v>1618.7310666666667</v>
      </c>
      <c r="H70" s="87" t="s">
        <v>238</v>
      </c>
      <c r="I70" s="88">
        <v>150</v>
      </c>
      <c r="J70" s="89">
        <v>4.78</v>
      </c>
      <c r="K70" s="88">
        <f>50797*J70</f>
        <v>242809.66</v>
      </c>
      <c r="L70" s="90">
        <v>41</v>
      </c>
      <c r="M70" s="90">
        <v>426</v>
      </c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</row>
    <row r="71" spans="1:51" s="15" customFormat="1" ht="34.15" customHeight="1" x14ac:dyDescent="0.2">
      <c r="A71" s="107"/>
      <c r="B71" s="85" t="s">
        <v>77</v>
      </c>
      <c r="C71" s="85">
        <v>2009</v>
      </c>
      <c r="D71" s="85" t="s">
        <v>31</v>
      </c>
      <c r="E71" s="85" t="s">
        <v>81</v>
      </c>
      <c r="F71" s="85" t="s">
        <v>37</v>
      </c>
      <c r="G71" s="87">
        <f t="shared" si="3"/>
        <v>6025.9866666666667</v>
      </c>
      <c r="H71" s="87" t="s">
        <v>239</v>
      </c>
      <c r="I71" s="88">
        <v>150</v>
      </c>
      <c r="J71" s="89">
        <v>4.78</v>
      </c>
      <c r="K71" s="88">
        <f>189100*J71</f>
        <v>903898</v>
      </c>
      <c r="L71" s="90">
        <v>42</v>
      </c>
      <c r="M71" s="90">
        <v>427</v>
      </c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</row>
    <row r="72" spans="1:51" s="15" customFormat="1" ht="34.15" customHeight="1" x14ac:dyDescent="0.2">
      <c r="A72" s="107"/>
      <c r="B72" s="85" t="s">
        <v>79</v>
      </c>
      <c r="C72" s="85">
        <v>2008</v>
      </c>
      <c r="D72" s="85" t="s">
        <v>31</v>
      </c>
      <c r="E72" s="85" t="s">
        <v>143</v>
      </c>
      <c r="F72" s="85" t="s">
        <v>37</v>
      </c>
      <c r="G72" s="87">
        <f t="shared" si="3"/>
        <v>6025.9866666666667</v>
      </c>
      <c r="H72" s="87" t="s">
        <v>239</v>
      </c>
      <c r="I72" s="88">
        <v>150</v>
      </c>
      <c r="J72" s="89">
        <v>4.78</v>
      </c>
      <c r="K72" s="88">
        <f>189100*J72</f>
        <v>903898</v>
      </c>
      <c r="L72" s="90">
        <v>43</v>
      </c>
      <c r="M72" s="90">
        <v>428</v>
      </c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</row>
    <row r="73" spans="1:51" s="15" customFormat="1" ht="46.5" customHeight="1" x14ac:dyDescent="0.2">
      <c r="A73" s="107">
        <v>389</v>
      </c>
      <c r="B73" s="85" t="s">
        <v>144</v>
      </c>
      <c r="C73" s="85">
        <v>2012</v>
      </c>
      <c r="D73" s="85" t="s">
        <v>57</v>
      </c>
      <c r="E73" s="85">
        <v>2012</v>
      </c>
      <c r="F73" s="85" t="s">
        <v>101</v>
      </c>
      <c r="G73" s="87">
        <f t="shared" si="3"/>
        <v>1629.6927999999998</v>
      </c>
      <c r="H73" s="87" t="s">
        <v>219</v>
      </c>
      <c r="I73" s="88">
        <v>150</v>
      </c>
      <c r="J73" s="89">
        <v>5.0199999999999996</v>
      </c>
      <c r="K73" s="88">
        <f>48696*J73</f>
        <v>244453.91999999998</v>
      </c>
      <c r="L73" s="90">
        <v>44</v>
      </c>
      <c r="M73" s="90">
        <v>429</v>
      </c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</row>
    <row r="74" spans="1:51" s="15" customFormat="1" ht="32.450000000000003" customHeight="1" x14ac:dyDescent="0.2">
      <c r="A74" s="107"/>
      <c r="B74" s="85" t="s">
        <v>145</v>
      </c>
      <c r="C74" s="85">
        <v>2010</v>
      </c>
      <c r="D74" s="85" t="s">
        <v>146</v>
      </c>
      <c r="E74" s="85" t="s">
        <v>78</v>
      </c>
      <c r="F74" s="85" t="s">
        <v>147</v>
      </c>
      <c r="G74" s="87">
        <v>19205</v>
      </c>
      <c r="H74" s="88"/>
      <c r="I74" s="88">
        <v>150</v>
      </c>
      <c r="J74" s="89"/>
      <c r="K74" s="88">
        <f t="shared" si="1"/>
        <v>2880750</v>
      </c>
      <c r="L74" s="90">
        <v>45</v>
      </c>
      <c r="M74" s="90">
        <v>430</v>
      </c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</row>
    <row r="75" spans="1:51" s="15" customFormat="1" ht="36.6" customHeight="1" x14ac:dyDescent="0.2">
      <c r="A75" s="107">
        <v>390</v>
      </c>
      <c r="B75" s="85" t="s">
        <v>148</v>
      </c>
      <c r="C75" s="85">
        <v>2012</v>
      </c>
      <c r="D75" s="85" t="s">
        <v>31</v>
      </c>
      <c r="E75" s="85">
        <v>2012</v>
      </c>
      <c r="F75" s="85" t="s">
        <v>37</v>
      </c>
      <c r="G75" s="87">
        <f t="shared" ref="G75:G80" si="4">K75/I75</f>
        <v>20364.131999999998</v>
      </c>
      <c r="H75" s="87" t="s">
        <v>240</v>
      </c>
      <c r="I75" s="88">
        <v>150</v>
      </c>
      <c r="J75" s="89">
        <v>5.0199999999999996</v>
      </c>
      <c r="K75" s="88">
        <f>608490*J75</f>
        <v>3054619.8</v>
      </c>
      <c r="L75" s="90">
        <v>46</v>
      </c>
      <c r="M75" s="90">
        <v>431</v>
      </c>
      <c r="N75" s="83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</row>
    <row r="76" spans="1:51" s="68" customFormat="1" ht="45" customHeight="1" x14ac:dyDescent="0.2">
      <c r="A76" s="107"/>
      <c r="B76" s="85" t="s">
        <v>149</v>
      </c>
      <c r="C76" s="85">
        <v>1994</v>
      </c>
      <c r="D76" s="85" t="s">
        <v>150</v>
      </c>
      <c r="E76" s="85" t="s">
        <v>78</v>
      </c>
      <c r="F76" s="85" t="s">
        <v>151</v>
      </c>
      <c r="G76" s="87">
        <f t="shared" si="4"/>
        <v>8733.5333333333328</v>
      </c>
      <c r="H76" s="87" t="s">
        <v>241</v>
      </c>
      <c r="I76" s="88">
        <v>150</v>
      </c>
      <c r="J76" s="89">
        <v>4.87</v>
      </c>
      <c r="K76" s="88">
        <f>269000*J76</f>
        <v>1310030</v>
      </c>
      <c r="L76" s="90">
        <v>47</v>
      </c>
      <c r="M76" s="90">
        <v>432</v>
      </c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</row>
    <row r="77" spans="1:51" s="15" customFormat="1" ht="45" customHeight="1" x14ac:dyDescent="0.2">
      <c r="A77" s="107">
        <v>391</v>
      </c>
      <c r="B77" s="85" t="s">
        <v>38</v>
      </c>
      <c r="C77" s="85">
        <v>2006</v>
      </c>
      <c r="D77" s="85" t="s">
        <v>31</v>
      </c>
      <c r="E77" s="85">
        <v>2012</v>
      </c>
      <c r="F77" s="85" t="s">
        <v>39</v>
      </c>
      <c r="G77" s="87">
        <f t="shared" si="4"/>
        <v>444.79333333333335</v>
      </c>
      <c r="H77" s="87" t="s">
        <v>242</v>
      </c>
      <c r="I77" s="88">
        <v>150</v>
      </c>
      <c r="J77" s="89">
        <v>4.87</v>
      </c>
      <c r="K77" s="88">
        <f>13700*J77</f>
        <v>66719</v>
      </c>
      <c r="L77" s="90">
        <v>48</v>
      </c>
      <c r="M77" s="90">
        <v>433</v>
      </c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</row>
    <row r="78" spans="1:51" s="6" customFormat="1" ht="33.6" customHeight="1" x14ac:dyDescent="0.2">
      <c r="A78" s="107">
        <v>392</v>
      </c>
      <c r="B78" s="85" t="s">
        <v>152</v>
      </c>
      <c r="C78" s="85">
        <v>2011</v>
      </c>
      <c r="D78" s="85" t="s">
        <v>153</v>
      </c>
      <c r="E78" s="85">
        <v>2012</v>
      </c>
      <c r="F78" s="85" t="s">
        <v>154</v>
      </c>
      <c r="G78" s="87">
        <f t="shared" si="4"/>
        <v>3267.77</v>
      </c>
      <c r="H78" s="87" t="s">
        <v>243</v>
      </c>
      <c r="I78" s="88">
        <v>150</v>
      </c>
      <c r="J78" s="89">
        <v>4.87</v>
      </c>
      <c r="K78" s="88">
        <f>100650*J78</f>
        <v>490165.5</v>
      </c>
      <c r="L78" s="90">
        <v>49</v>
      </c>
      <c r="M78" s="90">
        <v>434</v>
      </c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</row>
    <row r="79" spans="1:51" s="6" customFormat="1" ht="45" customHeight="1" x14ac:dyDescent="0.2">
      <c r="A79" s="107">
        <v>393</v>
      </c>
      <c r="B79" s="85" t="s">
        <v>155</v>
      </c>
      <c r="C79" s="85">
        <v>2003</v>
      </c>
      <c r="D79" s="85" t="s">
        <v>156</v>
      </c>
      <c r="E79" s="85">
        <v>2012</v>
      </c>
      <c r="F79" s="85" t="s">
        <v>157</v>
      </c>
      <c r="G79" s="87">
        <f t="shared" si="4"/>
        <v>29580</v>
      </c>
      <c r="H79" s="87" t="s">
        <v>244</v>
      </c>
      <c r="I79" s="88">
        <v>150</v>
      </c>
      <c r="J79" s="89">
        <v>4.93</v>
      </c>
      <c r="K79" s="88">
        <f>900000*J79</f>
        <v>4437000</v>
      </c>
      <c r="L79" s="90">
        <v>50</v>
      </c>
      <c r="M79" s="90">
        <v>435</v>
      </c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</row>
    <row r="80" spans="1:51" s="6" customFormat="1" ht="37.15" customHeight="1" x14ac:dyDescent="0.2">
      <c r="A80" s="107"/>
      <c r="B80" s="85" t="s">
        <v>41</v>
      </c>
      <c r="C80" s="85">
        <v>2011</v>
      </c>
      <c r="D80" s="85" t="s">
        <v>42</v>
      </c>
      <c r="E80" s="85">
        <v>2012</v>
      </c>
      <c r="F80" s="85" t="s">
        <v>43</v>
      </c>
      <c r="G80" s="87">
        <f t="shared" si="4"/>
        <v>2452.5106666666666</v>
      </c>
      <c r="H80" s="87" t="s">
        <v>245</v>
      </c>
      <c r="I80" s="88">
        <v>150</v>
      </c>
      <c r="J80" s="89">
        <v>4.93</v>
      </c>
      <c r="K80" s="88">
        <f>74620*J80</f>
        <v>367876.6</v>
      </c>
      <c r="L80" s="90">
        <v>51</v>
      </c>
      <c r="M80" s="90">
        <v>436</v>
      </c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</row>
    <row r="81" spans="1:51" s="63" customFormat="1" ht="54" customHeight="1" x14ac:dyDescent="0.2">
      <c r="A81" s="107"/>
      <c r="B81" s="85" t="s">
        <v>9</v>
      </c>
      <c r="C81" s="85">
        <v>1995</v>
      </c>
      <c r="D81" s="85" t="s">
        <v>10</v>
      </c>
      <c r="E81" s="85">
        <v>2012</v>
      </c>
      <c r="F81" s="85" t="s">
        <v>11</v>
      </c>
      <c r="G81" s="87">
        <v>8000</v>
      </c>
      <c r="H81" s="112" t="s">
        <v>184</v>
      </c>
      <c r="I81" s="88">
        <v>150</v>
      </c>
      <c r="J81" s="89"/>
      <c r="K81" s="88">
        <f>G81*I81</f>
        <v>1200000</v>
      </c>
      <c r="L81" s="90">
        <v>52</v>
      </c>
      <c r="M81" s="90">
        <v>437</v>
      </c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</row>
    <row r="82" spans="1:51" s="6" customFormat="1" ht="44.25" customHeight="1" x14ac:dyDescent="0.2">
      <c r="A82" s="107"/>
      <c r="B82" s="86" t="s">
        <v>158</v>
      </c>
      <c r="C82" s="85">
        <v>2011</v>
      </c>
      <c r="D82" s="85" t="s">
        <v>31</v>
      </c>
      <c r="E82" s="85" t="s">
        <v>159</v>
      </c>
      <c r="F82" s="85" t="s">
        <v>160</v>
      </c>
      <c r="G82" s="87">
        <v>7815</v>
      </c>
      <c r="H82" s="112"/>
      <c r="I82" s="88">
        <v>150</v>
      </c>
      <c r="J82" s="89"/>
      <c r="K82" s="88">
        <f t="shared" si="1"/>
        <v>1172250</v>
      </c>
      <c r="L82" s="90">
        <v>53</v>
      </c>
      <c r="M82" s="90">
        <v>438</v>
      </c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</row>
    <row r="83" spans="1:51" s="15" customFormat="1" ht="43.9" customHeight="1" x14ac:dyDescent="0.2">
      <c r="A83" s="107"/>
      <c r="B83" s="85" t="s">
        <v>34</v>
      </c>
      <c r="C83" s="85">
        <v>2005</v>
      </c>
      <c r="D83" s="85" t="s">
        <v>98</v>
      </c>
      <c r="E83" s="85" t="s">
        <v>68</v>
      </c>
      <c r="F83" s="103" t="s">
        <v>113</v>
      </c>
      <c r="G83" s="87">
        <f>K83/I83</f>
        <v>2812.9919999999997</v>
      </c>
      <c r="H83" s="87" t="s">
        <v>226</v>
      </c>
      <c r="I83" s="88">
        <v>150</v>
      </c>
      <c r="J83" s="89">
        <v>4.83</v>
      </c>
      <c r="K83" s="88">
        <f>87360*J83</f>
        <v>421948.8</v>
      </c>
      <c r="L83" s="90">
        <v>54</v>
      </c>
      <c r="M83" s="90">
        <v>439</v>
      </c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</row>
    <row r="84" spans="1:51" s="15" customFormat="1" ht="46.15" customHeight="1" x14ac:dyDescent="0.2">
      <c r="A84" s="107"/>
      <c r="B84" s="101" t="s">
        <v>45</v>
      </c>
      <c r="C84" s="98" t="s">
        <v>67</v>
      </c>
      <c r="D84" s="85" t="s">
        <v>15</v>
      </c>
      <c r="E84" s="85" t="s">
        <v>161</v>
      </c>
      <c r="F84" s="85" t="s">
        <v>16</v>
      </c>
      <c r="G84" s="87">
        <f>K84/I84</f>
        <v>1175.3</v>
      </c>
      <c r="H84" s="87" t="s">
        <v>246</v>
      </c>
      <c r="I84" s="88">
        <v>150</v>
      </c>
      <c r="J84" s="89">
        <v>4.83</v>
      </c>
      <c r="K84" s="88">
        <f>36500*J84</f>
        <v>176295</v>
      </c>
      <c r="L84" s="90">
        <v>55</v>
      </c>
      <c r="M84" s="90">
        <v>440</v>
      </c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</row>
    <row r="85" spans="1:51" s="68" customFormat="1" ht="43.9" customHeight="1" x14ac:dyDescent="0.2">
      <c r="A85" s="113"/>
      <c r="B85" s="114" t="s">
        <v>33</v>
      </c>
      <c r="C85" s="115">
        <v>2010</v>
      </c>
      <c r="D85" s="101" t="s">
        <v>31</v>
      </c>
      <c r="E85" s="101" t="s">
        <v>82</v>
      </c>
      <c r="F85" s="101" t="s">
        <v>32</v>
      </c>
      <c r="G85" s="104">
        <f>K85/I85</f>
        <v>19320</v>
      </c>
      <c r="H85" s="104" t="s">
        <v>247</v>
      </c>
      <c r="I85" s="105">
        <v>150</v>
      </c>
      <c r="J85" s="116">
        <v>4.83</v>
      </c>
      <c r="K85" s="105">
        <f>600000*J85</f>
        <v>2898000</v>
      </c>
      <c r="L85" s="106"/>
      <c r="M85" s="106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</row>
    <row r="86" spans="1:51" s="68" customFormat="1" ht="42.75" customHeight="1" x14ac:dyDescent="0.2">
      <c r="A86" s="117"/>
      <c r="B86" s="114" t="s">
        <v>144</v>
      </c>
      <c r="C86" s="94">
        <v>2012</v>
      </c>
      <c r="D86" s="94" t="s">
        <v>57</v>
      </c>
      <c r="E86" s="94" t="s">
        <v>204</v>
      </c>
      <c r="F86" s="94" t="s">
        <v>205</v>
      </c>
      <c r="G86" s="118">
        <v>25005</v>
      </c>
      <c r="H86" s="118"/>
      <c r="I86" s="119">
        <v>150</v>
      </c>
      <c r="J86" s="120"/>
      <c r="K86" s="119">
        <f>G86*I86</f>
        <v>3750750</v>
      </c>
      <c r="L86" s="121">
        <v>56</v>
      </c>
      <c r="M86" s="121">
        <v>441</v>
      </c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</row>
    <row r="87" spans="1:51" s="75" customFormat="1" ht="53.25" customHeight="1" x14ac:dyDescent="0.2">
      <c r="A87" s="94">
        <v>394</v>
      </c>
      <c r="B87" s="94" t="s">
        <v>196</v>
      </c>
      <c r="C87" s="122"/>
      <c r="D87" s="94" t="s">
        <v>197</v>
      </c>
      <c r="E87" s="123">
        <v>2012</v>
      </c>
      <c r="F87" s="94" t="s">
        <v>198</v>
      </c>
      <c r="G87" s="124">
        <v>6000</v>
      </c>
      <c r="H87" s="118"/>
      <c r="I87" s="118">
        <v>150</v>
      </c>
      <c r="J87" s="125"/>
      <c r="K87" s="118">
        <f t="shared" si="1"/>
        <v>900000</v>
      </c>
      <c r="L87" s="121">
        <v>57</v>
      </c>
      <c r="M87" s="126">
        <v>442</v>
      </c>
      <c r="N87" s="84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</row>
    <row r="88" spans="1:51" s="77" customFormat="1" ht="54" customHeight="1" x14ac:dyDescent="0.2">
      <c r="A88" s="94">
        <v>395</v>
      </c>
      <c r="B88" s="94" t="s">
        <v>200</v>
      </c>
      <c r="C88" s="122" t="s">
        <v>201</v>
      </c>
      <c r="D88" s="94" t="s">
        <v>31</v>
      </c>
      <c r="E88" s="123">
        <v>2012</v>
      </c>
      <c r="F88" s="94" t="s">
        <v>180</v>
      </c>
      <c r="G88" s="124">
        <f>K88/I88</f>
        <v>8791.8333333333339</v>
      </c>
      <c r="H88" s="118" t="s">
        <v>248</v>
      </c>
      <c r="I88" s="118">
        <v>150</v>
      </c>
      <c r="J88" s="125">
        <v>4.93</v>
      </c>
      <c r="K88" s="118">
        <f>267500*J88</f>
        <v>1318775</v>
      </c>
      <c r="L88" s="121">
        <v>58</v>
      </c>
      <c r="M88" s="126">
        <v>443</v>
      </c>
      <c r="N88" s="84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</row>
    <row r="89" spans="1:51" s="13" customFormat="1" ht="32.450000000000003" customHeight="1" x14ac:dyDescent="0.2">
      <c r="A89" s="53"/>
      <c r="B89" s="54" t="s">
        <v>162</v>
      </c>
      <c r="C89" s="55"/>
      <c r="D89" s="56"/>
      <c r="E89" s="56"/>
      <c r="F89" s="56"/>
      <c r="G89" s="57">
        <f>SUM(G24:G88)</f>
        <v>492679.31822200015</v>
      </c>
      <c r="H89" s="72" t="s">
        <v>46</v>
      </c>
      <c r="I89" s="72"/>
      <c r="J89" s="72"/>
      <c r="K89" s="73">
        <f>SUM(K24:K88)</f>
        <v>73901897.7333</v>
      </c>
      <c r="L89" s="58"/>
      <c r="M89" s="59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</row>
    <row r="90" spans="1:51" s="13" customFormat="1" ht="32.450000000000003" customHeight="1" x14ac:dyDescent="0.2">
      <c r="A90" s="27"/>
      <c r="B90" s="142" t="s">
        <v>163</v>
      </c>
      <c r="C90" s="142"/>
      <c r="D90" s="142"/>
      <c r="E90" s="142"/>
      <c r="F90" s="142"/>
      <c r="G90" s="28"/>
      <c r="H90" s="29"/>
      <c r="I90" s="29"/>
      <c r="J90" s="29"/>
      <c r="K90" s="29"/>
      <c r="L90" s="30"/>
      <c r="M90" s="31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</row>
    <row r="91" spans="1:51" s="15" customFormat="1" ht="67.900000000000006" customHeight="1" x14ac:dyDescent="0.2">
      <c r="A91" s="107">
        <v>396</v>
      </c>
      <c r="B91" s="86" t="s">
        <v>27</v>
      </c>
      <c r="C91" s="98" t="s">
        <v>64</v>
      </c>
      <c r="D91" s="85" t="s">
        <v>28</v>
      </c>
      <c r="E91" s="96">
        <v>2012</v>
      </c>
      <c r="F91" s="85" t="s">
        <v>164</v>
      </c>
      <c r="G91" s="127"/>
      <c r="H91" s="87" t="s">
        <v>165</v>
      </c>
      <c r="I91" s="87"/>
      <c r="J91" s="128"/>
      <c r="K91" s="87"/>
      <c r="L91" s="90">
        <v>59</v>
      </c>
      <c r="M91" s="129">
        <v>444</v>
      </c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</row>
    <row r="92" spans="1:51" s="15" customFormat="1" ht="34.15" customHeight="1" x14ac:dyDescent="0.2">
      <c r="A92" s="111"/>
      <c r="B92" s="85" t="s">
        <v>114</v>
      </c>
      <c r="C92" s="98" t="s">
        <v>64</v>
      </c>
      <c r="D92" s="85" t="s">
        <v>31</v>
      </c>
      <c r="E92" s="96" t="s">
        <v>81</v>
      </c>
      <c r="F92" s="85" t="s">
        <v>37</v>
      </c>
      <c r="G92" s="127"/>
      <c r="H92" s="87" t="s">
        <v>165</v>
      </c>
      <c r="I92" s="87"/>
      <c r="J92" s="128"/>
      <c r="K92" s="87"/>
      <c r="L92" s="90">
        <v>60</v>
      </c>
      <c r="M92" s="129">
        <v>445</v>
      </c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</row>
    <row r="93" spans="1:51" s="68" customFormat="1" ht="33" customHeight="1" x14ac:dyDescent="0.2">
      <c r="A93" s="111">
        <v>397</v>
      </c>
      <c r="B93" s="85" t="s">
        <v>166</v>
      </c>
      <c r="C93" s="98" t="s">
        <v>80</v>
      </c>
      <c r="D93" s="85" t="s">
        <v>167</v>
      </c>
      <c r="E93" s="96">
        <v>2012</v>
      </c>
      <c r="F93" s="85" t="s">
        <v>168</v>
      </c>
      <c r="G93" s="127">
        <v>16950</v>
      </c>
      <c r="H93" s="87" t="s">
        <v>169</v>
      </c>
      <c r="I93" s="87">
        <v>150</v>
      </c>
      <c r="J93" s="128"/>
      <c r="K93" s="87">
        <f>G93*I93</f>
        <v>2542500</v>
      </c>
      <c r="L93" s="90">
        <v>61</v>
      </c>
      <c r="M93" s="129">
        <v>446</v>
      </c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</row>
    <row r="94" spans="1:51" s="15" customFormat="1" ht="32.450000000000003" customHeight="1" x14ac:dyDescent="0.2">
      <c r="A94" s="111">
        <v>398</v>
      </c>
      <c r="B94" s="85" t="s">
        <v>170</v>
      </c>
      <c r="C94" s="98" t="s">
        <v>80</v>
      </c>
      <c r="D94" s="85" t="s">
        <v>171</v>
      </c>
      <c r="E94" s="96">
        <v>2012</v>
      </c>
      <c r="F94" s="85" t="s">
        <v>172</v>
      </c>
      <c r="G94" s="127">
        <v>26000</v>
      </c>
      <c r="H94" s="87" t="s">
        <v>173</v>
      </c>
      <c r="I94" s="87">
        <v>150</v>
      </c>
      <c r="J94" s="128"/>
      <c r="K94" s="87">
        <f>G94*I94</f>
        <v>3900000</v>
      </c>
      <c r="L94" s="90">
        <v>62</v>
      </c>
      <c r="M94" s="129">
        <v>447</v>
      </c>
      <c r="N94" s="84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</row>
    <row r="95" spans="1:51" s="68" customFormat="1" ht="27.75" customHeight="1" x14ac:dyDescent="0.2">
      <c r="A95" s="101">
        <v>399</v>
      </c>
      <c r="B95" s="101" t="s">
        <v>174</v>
      </c>
      <c r="C95" s="130" t="s">
        <v>80</v>
      </c>
      <c r="D95" s="101" t="s">
        <v>167</v>
      </c>
      <c r="E95" s="102">
        <v>2012</v>
      </c>
      <c r="F95" s="101" t="s">
        <v>175</v>
      </c>
      <c r="G95" s="131">
        <v>10000</v>
      </c>
      <c r="H95" s="104" t="s">
        <v>176</v>
      </c>
      <c r="I95" s="104">
        <v>150</v>
      </c>
      <c r="J95" s="132"/>
      <c r="K95" s="104">
        <f>G95*I95</f>
        <v>1500000</v>
      </c>
      <c r="L95" s="106">
        <v>63</v>
      </c>
      <c r="M95" s="133">
        <v>448</v>
      </c>
      <c r="N95" s="84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</row>
    <row r="96" spans="1:51" x14ac:dyDescent="0.2">
      <c r="A96" s="134"/>
      <c r="B96" s="135"/>
      <c r="C96" s="136"/>
      <c r="D96" s="136"/>
      <c r="E96" s="136"/>
      <c r="F96" s="136"/>
      <c r="G96" s="137"/>
      <c r="H96" s="103"/>
      <c r="I96" s="103"/>
      <c r="J96" s="103"/>
      <c r="K96" s="103"/>
      <c r="L96" s="138"/>
      <c r="M96" s="139"/>
      <c r="N96" s="60"/>
      <c r="O96" s="60"/>
      <c r="P96" s="60"/>
      <c r="Q96" s="60"/>
      <c r="R96" s="60"/>
      <c r="S96" s="60"/>
      <c r="T96" s="60"/>
    </row>
    <row r="97" spans="1:51" s="13" customFormat="1" ht="25.5" customHeight="1" x14ac:dyDescent="0.2">
      <c r="A97" s="53"/>
      <c r="B97" s="70" t="s">
        <v>177</v>
      </c>
      <c r="C97" s="70"/>
      <c r="D97" s="70"/>
      <c r="E97" s="70"/>
      <c r="F97" s="70"/>
      <c r="G97" s="71">
        <f>SUM(G91:G95)</f>
        <v>52950</v>
      </c>
      <c r="H97" s="72" t="s">
        <v>46</v>
      </c>
      <c r="I97" s="72"/>
      <c r="J97" s="72"/>
      <c r="K97" s="73">
        <f>SUM(K91:K95)</f>
        <v>7942500</v>
      </c>
      <c r="L97" s="74"/>
      <c r="M97" s="59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</row>
    <row r="98" spans="1:51" x14ac:dyDescent="0.2">
      <c r="N98" s="60"/>
      <c r="O98" s="60"/>
      <c r="P98" s="60"/>
      <c r="Q98" s="60"/>
      <c r="R98" s="60"/>
      <c r="S98" s="60"/>
      <c r="T98" s="60"/>
    </row>
    <row r="99" spans="1:51" x14ac:dyDescent="0.2">
      <c r="N99" s="60"/>
      <c r="O99" s="60"/>
      <c r="P99" s="60"/>
      <c r="Q99" s="60"/>
      <c r="R99" s="60"/>
      <c r="S99" s="60"/>
      <c r="T99" s="60"/>
    </row>
    <row r="100" spans="1:51" x14ac:dyDescent="0.2">
      <c r="N100" s="60"/>
      <c r="O100" s="60"/>
      <c r="P100" s="60"/>
      <c r="Q100" s="60"/>
      <c r="R100" s="60"/>
      <c r="S100" s="60"/>
      <c r="T100" s="60"/>
    </row>
    <row r="101" spans="1:51" x14ac:dyDescent="0.2">
      <c r="N101" s="60"/>
      <c r="O101" s="60"/>
      <c r="P101" s="60"/>
      <c r="Q101" s="60"/>
      <c r="R101" s="60"/>
      <c r="S101" s="60"/>
      <c r="T101" s="60"/>
    </row>
    <row r="102" spans="1:51" x14ac:dyDescent="0.2">
      <c r="N102" s="60"/>
      <c r="O102" s="60"/>
      <c r="P102" s="60"/>
      <c r="Q102" s="60"/>
      <c r="R102" s="60"/>
      <c r="S102" s="60"/>
      <c r="T102" s="60"/>
    </row>
    <row r="103" spans="1:51" x14ac:dyDescent="0.2">
      <c r="N103" s="60"/>
      <c r="O103" s="60"/>
      <c r="P103" s="60"/>
      <c r="Q103" s="60"/>
      <c r="R103" s="60"/>
      <c r="S103" s="60"/>
      <c r="T103" s="60"/>
    </row>
    <row r="104" spans="1:51" x14ac:dyDescent="0.2">
      <c r="N104" s="60"/>
      <c r="O104" s="60"/>
      <c r="P104" s="60"/>
      <c r="Q104" s="60"/>
      <c r="R104" s="60"/>
      <c r="S104" s="60"/>
      <c r="T104" s="60"/>
    </row>
    <row r="105" spans="1:51" x14ac:dyDescent="0.2">
      <c r="N105" s="60"/>
      <c r="O105" s="60"/>
      <c r="P105" s="60"/>
      <c r="Q105" s="60"/>
      <c r="R105" s="60"/>
      <c r="S105" s="60"/>
      <c r="T105" s="60"/>
    </row>
    <row r="106" spans="1:51" x14ac:dyDescent="0.2">
      <c r="N106" s="60"/>
      <c r="O106" s="60"/>
      <c r="P106" s="60"/>
      <c r="Q106" s="60"/>
      <c r="R106" s="60"/>
      <c r="S106" s="60"/>
      <c r="T106" s="60"/>
    </row>
    <row r="107" spans="1:51" x14ac:dyDescent="0.2">
      <c r="N107" s="60"/>
      <c r="O107" s="60"/>
      <c r="P107" s="60"/>
      <c r="Q107" s="60"/>
      <c r="R107" s="60"/>
      <c r="S107" s="60"/>
      <c r="T107" s="60"/>
    </row>
    <row r="108" spans="1:51" x14ac:dyDescent="0.2">
      <c r="N108" s="60"/>
      <c r="O108" s="60"/>
      <c r="P108" s="60"/>
      <c r="Q108" s="60"/>
      <c r="R108" s="60"/>
      <c r="S108" s="60"/>
      <c r="T108" s="60"/>
    </row>
    <row r="109" spans="1:51" x14ac:dyDescent="0.2">
      <c r="N109" s="60"/>
      <c r="O109" s="60"/>
      <c r="P109" s="60"/>
      <c r="Q109" s="60"/>
      <c r="R109" s="60"/>
      <c r="S109" s="60"/>
      <c r="T109" s="60"/>
    </row>
    <row r="110" spans="1:51" x14ac:dyDescent="0.2">
      <c r="N110" s="60"/>
      <c r="O110" s="60"/>
      <c r="P110" s="60"/>
      <c r="Q110" s="60"/>
      <c r="R110" s="60"/>
      <c r="S110" s="60"/>
      <c r="T110" s="60"/>
    </row>
    <row r="111" spans="1:51" x14ac:dyDescent="0.2">
      <c r="N111" s="60"/>
      <c r="O111" s="60"/>
      <c r="P111" s="60"/>
      <c r="Q111" s="60"/>
      <c r="R111" s="60"/>
      <c r="S111" s="60"/>
      <c r="T111" s="60"/>
    </row>
    <row r="112" spans="1:51" x14ac:dyDescent="0.2">
      <c r="N112" s="60"/>
      <c r="O112" s="60"/>
      <c r="P112" s="60"/>
      <c r="Q112" s="60"/>
      <c r="R112" s="60"/>
      <c r="S112" s="60"/>
      <c r="T112" s="60"/>
    </row>
    <row r="113" spans="14:20" x14ac:dyDescent="0.2">
      <c r="N113" s="60"/>
      <c r="O113" s="60"/>
      <c r="P113" s="60"/>
      <c r="Q113" s="60"/>
      <c r="R113" s="60"/>
      <c r="S113" s="60"/>
      <c r="T113" s="60"/>
    </row>
    <row r="114" spans="14:20" x14ac:dyDescent="0.2">
      <c r="N114" s="60"/>
      <c r="O114" s="60"/>
      <c r="P114" s="60"/>
      <c r="Q114" s="60"/>
      <c r="R114" s="60"/>
      <c r="S114" s="60"/>
      <c r="T114" s="60"/>
    </row>
    <row r="115" spans="14:20" x14ac:dyDescent="0.2">
      <c r="N115" s="60"/>
      <c r="O115" s="60"/>
      <c r="P115" s="60"/>
      <c r="Q115" s="60"/>
      <c r="R115" s="60"/>
      <c r="S115" s="60"/>
      <c r="T115" s="60"/>
    </row>
    <row r="116" spans="14:20" x14ac:dyDescent="0.2">
      <c r="N116" s="60"/>
      <c r="O116" s="60"/>
      <c r="P116" s="60"/>
      <c r="Q116" s="60"/>
      <c r="R116" s="60"/>
      <c r="S116" s="60"/>
      <c r="T116" s="60"/>
    </row>
    <row r="117" spans="14:20" x14ac:dyDescent="0.2">
      <c r="N117" s="60"/>
      <c r="O117" s="60"/>
      <c r="P117" s="60"/>
      <c r="Q117" s="60"/>
      <c r="R117" s="60"/>
      <c r="S117" s="60"/>
      <c r="T117" s="60"/>
    </row>
    <row r="118" spans="14:20" x14ac:dyDescent="0.2">
      <c r="N118" s="60"/>
      <c r="O118" s="60"/>
      <c r="P118" s="60"/>
      <c r="Q118" s="60"/>
      <c r="R118" s="60"/>
      <c r="S118" s="60"/>
      <c r="T118" s="60"/>
    </row>
    <row r="119" spans="14:20" x14ac:dyDescent="0.2">
      <c r="N119" s="60"/>
      <c r="O119" s="60"/>
      <c r="P119" s="60"/>
      <c r="Q119" s="60"/>
      <c r="R119" s="60"/>
      <c r="S119" s="60"/>
      <c r="T119" s="60"/>
    </row>
    <row r="120" spans="14:20" x14ac:dyDescent="0.2">
      <c r="N120" s="60"/>
      <c r="O120" s="60"/>
      <c r="P120" s="60"/>
      <c r="Q120" s="60"/>
      <c r="R120" s="60"/>
      <c r="S120" s="60"/>
      <c r="T120" s="60"/>
    </row>
    <row r="121" spans="14:20" x14ac:dyDescent="0.2">
      <c r="N121" s="60"/>
      <c r="O121" s="60"/>
      <c r="P121" s="60"/>
      <c r="Q121" s="60"/>
      <c r="R121" s="60"/>
      <c r="S121" s="60"/>
      <c r="T121" s="60"/>
    </row>
    <row r="122" spans="14:20" x14ac:dyDescent="0.2">
      <c r="N122" s="60"/>
      <c r="O122" s="60"/>
      <c r="P122" s="60"/>
      <c r="Q122" s="60"/>
      <c r="R122" s="60"/>
      <c r="S122" s="60"/>
      <c r="T122" s="60"/>
    </row>
    <row r="123" spans="14:20" x14ac:dyDescent="0.2">
      <c r="N123" s="60"/>
      <c r="O123" s="60"/>
      <c r="P123" s="60"/>
      <c r="Q123" s="60"/>
      <c r="R123" s="60"/>
      <c r="S123" s="60"/>
      <c r="T123" s="60"/>
    </row>
    <row r="124" spans="14:20" x14ac:dyDescent="0.2">
      <c r="N124" s="60"/>
      <c r="O124" s="60"/>
      <c r="P124" s="60"/>
      <c r="Q124" s="60"/>
      <c r="R124" s="60"/>
      <c r="S124" s="60"/>
      <c r="T124" s="60"/>
    </row>
    <row r="125" spans="14:20" x14ac:dyDescent="0.2">
      <c r="N125" s="60"/>
      <c r="O125" s="60"/>
      <c r="P125" s="60"/>
      <c r="Q125" s="60"/>
      <c r="R125" s="60"/>
      <c r="S125" s="60"/>
      <c r="T125" s="60"/>
    </row>
    <row r="126" spans="14:20" x14ac:dyDescent="0.2">
      <c r="N126" s="60"/>
      <c r="O126" s="60"/>
      <c r="P126" s="60"/>
      <c r="Q126" s="60"/>
      <c r="R126" s="60"/>
      <c r="S126" s="60"/>
      <c r="T126" s="60"/>
    </row>
    <row r="127" spans="14:20" x14ac:dyDescent="0.2">
      <c r="N127" s="60"/>
      <c r="O127" s="60"/>
      <c r="P127" s="60"/>
      <c r="Q127" s="60"/>
      <c r="R127" s="60"/>
      <c r="S127" s="60"/>
      <c r="T127" s="60"/>
    </row>
    <row r="128" spans="14:20" x14ac:dyDescent="0.2">
      <c r="N128" s="60"/>
      <c r="O128" s="60"/>
      <c r="P128" s="60"/>
      <c r="Q128" s="60"/>
      <c r="R128" s="60"/>
      <c r="S128" s="60"/>
      <c r="T128" s="60"/>
    </row>
    <row r="129" spans="14:20" x14ac:dyDescent="0.2">
      <c r="N129" s="60"/>
      <c r="O129" s="60"/>
      <c r="P129" s="60"/>
      <c r="Q129" s="60"/>
      <c r="R129" s="60"/>
      <c r="S129" s="60"/>
      <c r="T129" s="60"/>
    </row>
    <row r="130" spans="14:20" x14ac:dyDescent="0.2">
      <c r="N130" s="60"/>
      <c r="O130" s="60"/>
      <c r="P130" s="60"/>
      <c r="Q130" s="60"/>
      <c r="R130" s="60"/>
      <c r="S130" s="60"/>
      <c r="T130" s="60"/>
    </row>
    <row r="131" spans="14:20" x14ac:dyDescent="0.2">
      <c r="N131" s="60"/>
      <c r="O131" s="60"/>
      <c r="P131" s="60"/>
      <c r="Q131" s="60"/>
      <c r="R131" s="60"/>
      <c r="S131" s="60"/>
      <c r="T131" s="60"/>
    </row>
    <row r="132" spans="14:20" x14ac:dyDescent="0.2">
      <c r="N132" s="60"/>
      <c r="O132" s="60"/>
      <c r="P132" s="60"/>
      <c r="Q132" s="60"/>
      <c r="R132" s="60"/>
      <c r="S132" s="60"/>
      <c r="T132" s="60"/>
    </row>
    <row r="133" spans="14:20" x14ac:dyDescent="0.2">
      <c r="N133" s="60"/>
      <c r="O133" s="60"/>
      <c r="P133" s="60"/>
      <c r="Q133" s="60"/>
      <c r="R133" s="60"/>
      <c r="S133" s="60"/>
      <c r="T133" s="60"/>
    </row>
    <row r="134" spans="14:20" x14ac:dyDescent="0.2">
      <c r="N134" s="60"/>
      <c r="O134" s="60"/>
      <c r="P134" s="60"/>
      <c r="Q134" s="60"/>
      <c r="R134" s="60"/>
      <c r="S134" s="60"/>
      <c r="T134" s="60"/>
    </row>
    <row r="135" spans="14:20" x14ac:dyDescent="0.2">
      <c r="N135" s="60"/>
      <c r="O135" s="60"/>
      <c r="P135" s="60"/>
      <c r="Q135" s="60"/>
      <c r="R135" s="60"/>
      <c r="S135" s="60"/>
      <c r="T135" s="60"/>
    </row>
    <row r="136" spans="14:20" x14ac:dyDescent="0.2">
      <c r="N136" s="60"/>
      <c r="O136" s="60"/>
      <c r="P136" s="60"/>
      <c r="Q136" s="60"/>
      <c r="R136" s="60"/>
      <c r="S136" s="60"/>
      <c r="T136" s="60"/>
    </row>
    <row r="137" spans="14:20" x14ac:dyDescent="0.2">
      <c r="N137" s="60"/>
      <c r="O137" s="60"/>
      <c r="P137" s="60"/>
      <c r="Q137" s="60"/>
      <c r="R137" s="60"/>
      <c r="S137" s="60"/>
      <c r="T137" s="60"/>
    </row>
    <row r="138" spans="14:20" x14ac:dyDescent="0.2">
      <c r="N138" s="60"/>
      <c r="O138" s="60"/>
      <c r="P138" s="60"/>
      <c r="Q138" s="60"/>
      <c r="R138" s="60"/>
      <c r="S138" s="60"/>
      <c r="T138" s="60"/>
    </row>
    <row r="139" spans="14:20" x14ac:dyDescent="0.2">
      <c r="N139" s="60"/>
      <c r="O139" s="60"/>
      <c r="P139" s="60"/>
      <c r="Q139" s="60"/>
      <c r="R139" s="60"/>
      <c r="S139" s="60"/>
      <c r="T139" s="60"/>
    </row>
    <row r="140" spans="14:20" x14ac:dyDescent="0.2">
      <c r="N140" s="60"/>
      <c r="O140" s="60"/>
      <c r="P140" s="60"/>
      <c r="Q140" s="60"/>
      <c r="R140" s="60"/>
      <c r="S140" s="60"/>
      <c r="T140" s="60"/>
    </row>
    <row r="141" spans="14:20" x14ac:dyDescent="0.2">
      <c r="N141" s="60"/>
      <c r="O141" s="60"/>
      <c r="P141" s="60"/>
      <c r="Q141" s="60"/>
      <c r="R141" s="60"/>
      <c r="S141" s="60"/>
      <c r="T141" s="60"/>
    </row>
    <row r="142" spans="14:20" x14ac:dyDescent="0.2">
      <c r="N142" s="60"/>
      <c r="O142" s="60"/>
      <c r="P142" s="60"/>
      <c r="Q142" s="60"/>
      <c r="R142" s="60"/>
      <c r="S142" s="60"/>
      <c r="T142" s="60"/>
    </row>
    <row r="143" spans="14:20" x14ac:dyDescent="0.2">
      <c r="N143" s="60"/>
      <c r="O143" s="60"/>
      <c r="P143" s="60"/>
      <c r="Q143" s="60"/>
      <c r="R143" s="60"/>
      <c r="S143" s="60"/>
      <c r="T143" s="60"/>
    </row>
    <row r="144" spans="14:20" x14ac:dyDescent="0.2">
      <c r="N144" s="60"/>
      <c r="O144" s="60"/>
      <c r="P144" s="60"/>
      <c r="Q144" s="60"/>
      <c r="R144" s="60"/>
      <c r="S144" s="60"/>
      <c r="T144" s="60"/>
    </row>
    <row r="145" spans="14:20" x14ac:dyDescent="0.2">
      <c r="N145" s="60"/>
      <c r="O145" s="60"/>
      <c r="P145" s="60"/>
      <c r="Q145" s="60"/>
      <c r="R145" s="60"/>
      <c r="S145" s="60"/>
      <c r="T145" s="60"/>
    </row>
    <row r="146" spans="14:20" x14ac:dyDescent="0.2">
      <c r="N146" s="60"/>
      <c r="O146" s="60"/>
      <c r="P146" s="60"/>
      <c r="Q146" s="60"/>
      <c r="R146" s="60"/>
      <c r="S146" s="60"/>
      <c r="T146" s="60"/>
    </row>
    <row r="147" spans="14:20" x14ac:dyDescent="0.2">
      <c r="N147" s="60"/>
      <c r="O147" s="60"/>
      <c r="P147" s="60"/>
      <c r="Q147" s="60"/>
      <c r="R147" s="60"/>
      <c r="S147" s="60"/>
      <c r="T147" s="60"/>
    </row>
    <row r="148" spans="14:20" x14ac:dyDescent="0.2">
      <c r="N148" s="60"/>
      <c r="O148" s="60"/>
      <c r="P148" s="60"/>
      <c r="Q148" s="60"/>
      <c r="R148" s="60"/>
      <c r="S148" s="60"/>
      <c r="T148" s="60"/>
    </row>
    <row r="149" spans="14:20" x14ac:dyDescent="0.2">
      <c r="N149" s="60"/>
      <c r="O149" s="60"/>
      <c r="P149" s="60"/>
      <c r="Q149" s="60"/>
      <c r="R149" s="60"/>
      <c r="S149" s="60"/>
      <c r="T149" s="60"/>
    </row>
    <row r="150" spans="14:20" x14ac:dyDescent="0.2">
      <c r="N150" s="60"/>
      <c r="O150" s="60"/>
      <c r="P150" s="60"/>
      <c r="Q150" s="60"/>
      <c r="R150" s="60"/>
      <c r="S150" s="60"/>
      <c r="T150" s="60"/>
    </row>
    <row r="151" spans="14:20" x14ac:dyDescent="0.2">
      <c r="N151" s="60"/>
      <c r="O151" s="60"/>
      <c r="P151" s="60"/>
      <c r="Q151" s="60"/>
      <c r="R151" s="60"/>
      <c r="S151" s="60"/>
      <c r="T151" s="60"/>
    </row>
    <row r="152" spans="14:20" x14ac:dyDescent="0.2">
      <c r="N152" s="60"/>
      <c r="O152" s="60"/>
      <c r="P152" s="60"/>
      <c r="Q152" s="60"/>
      <c r="R152" s="60"/>
      <c r="S152" s="60"/>
      <c r="T152" s="60"/>
    </row>
    <row r="153" spans="14:20" x14ac:dyDescent="0.2">
      <c r="N153" s="60"/>
      <c r="O153" s="60"/>
      <c r="P153" s="60"/>
      <c r="Q153" s="60"/>
      <c r="R153" s="60"/>
      <c r="S153" s="60"/>
      <c r="T153" s="60"/>
    </row>
    <row r="154" spans="14:20" x14ac:dyDescent="0.2">
      <c r="N154" s="60"/>
      <c r="O154" s="60"/>
      <c r="P154" s="60"/>
      <c r="Q154" s="60"/>
      <c r="R154" s="60"/>
      <c r="S154" s="60"/>
      <c r="T154" s="60"/>
    </row>
    <row r="155" spans="14:20" x14ac:dyDescent="0.2">
      <c r="N155" s="60"/>
      <c r="O155" s="60"/>
      <c r="P155" s="60"/>
      <c r="Q155" s="60"/>
      <c r="R155" s="60"/>
      <c r="S155" s="60"/>
      <c r="T155" s="60"/>
    </row>
    <row r="156" spans="14:20" x14ac:dyDescent="0.2">
      <c r="N156" s="60"/>
      <c r="O156" s="60"/>
      <c r="P156" s="60"/>
      <c r="Q156" s="60"/>
      <c r="R156" s="60"/>
      <c r="S156" s="60"/>
      <c r="T156" s="60"/>
    </row>
    <row r="157" spans="14:20" x14ac:dyDescent="0.2">
      <c r="N157" s="60"/>
      <c r="O157" s="60"/>
      <c r="P157" s="60"/>
      <c r="Q157" s="60"/>
      <c r="R157" s="60"/>
      <c r="S157" s="60"/>
      <c r="T157" s="60"/>
    </row>
    <row r="158" spans="14:20" x14ac:dyDescent="0.2">
      <c r="N158" s="60"/>
      <c r="O158" s="60"/>
      <c r="P158" s="60"/>
      <c r="Q158" s="60"/>
      <c r="R158" s="60"/>
      <c r="S158" s="60"/>
      <c r="T158" s="60"/>
    </row>
    <row r="159" spans="14:20" x14ac:dyDescent="0.2">
      <c r="N159" s="60"/>
      <c r="O159" s="60"/>
      <c r="P159" s="60"/>
      <c r="Q159" s="60"/>
      <c r="R159" s="60"/>
      <c r="S159" s="60"/>
      <c r="T159" s="60"/>
    </row>
    <row r="160" spans="14:20" x14ac:dyDescent="0.2">
      <c r="N160" s="60"/>
      <c r="O160" s="60"/>
      <c r="P160" s="60"/>
      <c r="Q160" s="60"/>
      <c r="R160" s="60"/>
      <c r="S160" s="60"/>
      <c r="T160" s="60"/>
    </row>
    <row r="161" spans="14:20" x14ac:dyDescent="0.2">
      <c r="N161" s="60"/>
      <c r="O161" s="60"/>
      <c r="P161" s="60"/>
      <c r="Q161" s="60"/>
      <c r="R161" s="60"/>
      <c r="S161" s="60"/>
      <c r="T161" s="60"/>
    </row>
    <row r="162" spans="14:20" x14ac:dyDescent="0.2">
      <c r="N162" s="60"/>
      <c r="O162" s="60"/>
      <c r="P162" s="60"/>
      <c r="Q162" s="60"/>
      <c r="R162" s="60"/>
      <c r="S162" s="60"/>
      <c r="T162" s="60"/>
    </row>
    <row r="163" spans="14:20" x14ac:dyDescent="0.2">
      <c r="N163" s="60"/>
      <c r="O163" s="60"/>
      <c r="P163" s="60"/>
      <c r="Q163" s="60"/>
      <c r="R163" s="60"/>
      <c r="S163" s="60"/>
      <c r="T163" s="60"/>
    </row>
    <row r="164" spans="14:20" x14ac:dyDescent="0.2">
      <c r="N164" s="60"/>
      <c r="O164" s="60"/>
      <c r="P164" s="60"/>
      <c r="Q164" s="60"/>
      <c r="R164" s="60"/>
      <c r="S164" s="60"/>
      <c r="T164" s="60"/>
    </row>
    <row r="165" spans="14:20" x14ac:dyDescent="0.2">
      <c r="N165" s="60"/>
      <c r="O165" s="60"/>
      <c r="P165" s="60"/>
      <c r="Q165" s="60"/>
      <c r="R165" s="60"/>
      <c r="S165" s="60"/>
      <c r="T165" s="60"/>
    </row>
    <row r="166" spans="14:20" x14ac:dyDescent="0.2">
      <c r="N166" s="60"/>
      <c r="O166" s="60"/>
      <c r="P166" s="60"/>
      <c r="Q166" s="60"/>
      <c r="R166" s="60"/>
      <c r="S166" s="60"/>
      <c r="T166" s="60"/>
    </row>
    <row r="167" spans="14:20" x14ac:dyDescent="0.2">
      <c r="N167" s="60"/>
      <c r="O167" s="60"/>
      <c r="P167" s="60"/>
      <c r="Q167" s="60"/>
      <c r="R167" s="60"/>
      <c r="S167" s="60"/>
      <c r="T167" s="60"/>
    </row>
    <row r="168" spans="14:20" x14ac:dyDescent="0.2">
      <c r="N168" s="60"/>
      <c r="O168" s="60"/>
      <c r="P168" s="60"/>
      <c r="Q168" s="60"/>
      <c r="R168" s="60"/>
      <c r="S168" s="60"/>
      <c r="T168" s="60"/>
    </row>
    <row r="169" spans="14:20" x14ac:dyDescent="0.2">
      <c r="N169" s="60"/>
      <c r="O169" s="60"/>
      <c r="P169" s="60"/>
      <c r="Q169" s="60"/>
      <c r="R169" s="60"/>
      <c r="S169" s="60"/>
      <c r="T169" s="60"/>
    </row>
    <row r="170" spans="14:20" x14ac:dyDescent="0.2">
      <c r="N170" s="60"/>
      <c r="O170" s="60"/>
      <c r="P170" s="60"/>
      <c r="Q170" s="60"/>
      <c r="R170" s="60"/>
      <c r="S170" s="60"/>
      <c r="T170" s="60"/>
    </row>
    <row r="171" spans="14:20" x14ac:dyDescent="0.2">
      <c r="N171" s="60"/>
      <c r="O171" s="60"/>
      <c r="P171" s="60"/>
      <c r="Q171" s="60"/>
      <c r="R171" s="60"/>
      <c r="S171" s="60"/>
      <c r="T171" s="60"/>
    </row>
    <row r="172" spans="14:20" x14ac:dyDescent="0.2">
      <c r="N172" s="60"/>
      <c r="O172" s="60"/>
      <c r="P172" s="60"/>
      <c r="Q172" s="60"/>
      <c r="R172" s="60"/>
      <c r="S172" s="60"/>
      <c r="T172" s="60"/>
    </row>
    <row r="173" spans="14:20" x14ac:dyDescent="0.2">
      <c r="N173" s="60"/>
      <c r="O173" s="60"/>
      <c r="P173" s="60"/>
      <c r="Q173" s="60"/>
      <c r="R173" s="60"/>
      <c r="S173" s="60"/>
      <c r="T173" s="60"/>
    </row>
    <row r="174" spans="14:20" x14ac:dyDescent="0.2">
      <c r="N174" s="60"/>
      <c r="O174" s="60"/>
      <c r="P174" s="60"/>
      <c r="Q174" s="60"/>
      <c r="R174" s="60"/>
      <c r="S174" s="60"/>
      <c r="T174" s="60"/>
    </row>
    <row r="175" spans="14:20" x14ac:dyDescent="0.2">
      <c r="N175" s="60"/>
      <c r="O175" s="60"/>
      <c r="P175" s="60"/>
      <c r="Q175" s="60"/>
      <c r="R175" s="60"/>
      <c r="S175" s="60"/>
      <c r="T175" s="60"/>
    </row>
    <row r="176" spans="14:20" x14ac:dyDescent="0.2">
      <c r="N176" s="60"/>
      <c r="O176" s="60"/>
      <c r="P176" s="60"/>
      <c r="Q176" s="60"/>
      <c r="R176" s="60"/>
      <c r="S176" s="60"/>
      <c r="T176" s="60"/>
    </row>
    <row r="177" spans="14:20" x14ac:dyDescent="0.2">
      <c r="N177" s="60"/>
      <c r="O177" s="60"/>
      <c r="P177" s="60"/>
      <c r="Q177" s="60"/>
      <c r="R177" s="60"/>
      <c r="S177" s="60"/>
      <c r="T177" s="60"/>
    </row>
    <row r="178" spans="14:20" x14ac:dyDescent="0.2">
      <c r="N178" s="60"/>
      <c r="O178" s="60"/>
      <c r="P178" s="60"/>
      <c r="Q178" s="60"/>
      <c r="R178" s="60"/>
      <c r="S178" s="60"/>
      <c r="T178" s="60"/>
    </row>
    <row r="179" spans="14:20" x14ac:dyDescent="0.2">
      <c r="N179" s="60"/>
      <c r="O179" s="60"/>
      <c r="P179" s="60"/>
      <c r="Q179" s="60"/>
      <c r="R179" s="60"/>
      <c r="S179" s="60"/>
      <c r="T179" s="60"/>
    </row>
    <row r="180" spans="14:20" x14ac:dyDescent="0.2">
      <c r="N180" s="60"/>
      <c r="O180" s="60"/>
      <c r="P180" s="60"/>
      <c r="Q180" s="60"/>
      <c r="R180" s="60"/>
      <c r="S180" s="60"/>
      <c r="T180" s="60"/>
    </row>
    <row r="181" spans="14:20" x14ac:dyDescent="0.2">
      <c r="N181" s="60"/>
      <c r="O181" s="60"/>
      <c r="P181" s="60"/>
      <c r="Q181" s="60"/>
      <c r="R181" s="60"/>
      <c r="S181" s="60"/>
      <c r="T181" s="60"/>
    </row>
    <row r="182" spans="14:20" x14ac:dyDescent="0.2">
      <c r="N182" s="60"/>
      <c r="O182" s="60"/>
      <c r="P182" s="60"/>
      <c r="Q182" s="60"/>
      <c r="R182" s="60"/>
      <c r="S182" s="60"/>
      <c r="T182" s="60"/>
    </row>
    <row r="183" spans="14:20" x14ac:dyDescent="0.2">
      <c r="N183" s="60"/>
      <c r="O183" s="60"/>
      <c r="P183" s="60"/>
      <c r="Q183" s="60"/>
      <c r="R183" s="60"/>
      <c r="S183" s="60"/>
      <c r="T183" s="60"/>
    </row>
    <row r="184" spans="14:20" x14ac:dyDescent="0.2">
      <c r="N184" s="60"/>
      <c r="O184" s="60"/>
      <c r="P184" s="60"/>
      <c r="Q184" s="60"/>
      <c r="R184" s="60"/>
      <c r="S184" s="60"/>
      <c r="T184" s="60"/>
    </row>
    <row r="185" spans="14:20" x14ac:dyDescent="0.2">
      <c r="N185" s="60"/>
      <c r="O185" s="60"/>
      <c r="P185" s="60"/>
      <c r="Q185" s="60"/>
      <c r="R185" s="60"/>
      <c r="S185" s="60"/>
      <c r="T185" s="60"/>
    </row>
    <row r="186" spans="14:20" x14ac:dyDescent="0.2">
      <c r="N186" s="60"/>
      <c r="O186" s="60"/>
      <c r="P186" s="60"/>
      <c r="Q186" s="60"/>
      <c r="R186" s="60"/>
      <c r="S186" s="60"/>
      <c r="T186" s="60"/>
    </row>
    <row r="187" spans="14:20" x14ac:dyDescent="0.2">
      <c r="N187" s="60"/>
      <c r="O187" s="60"/>
      <c r="P187" s="60"/>
      <c r="Q187" s="60"/>
      <c r="R187" s="60"/>
      <c r="S187" s="60"/>
      <c r="T187" s="60"/>
    </row>
    <row r="188" spans="14:20" x14ac:dyDescent="0.2">
      <c r="N188" s="60"/>
      <c r="O188" s="60"/>
      <c r="P188" s="60"/>
      <c r="Q188" s="60"/>
      <c r="R188" s="60"/>
      <c r="S188" s="60"/>
      <c r="T188" s="60"/>
    </row>
    <row r="189" spans="14:20" x14ac:dyDescent="0.2">
      <c r="N189" s="60"/>
      <c r="O189" s="60"/>
      <c r="P189" s="60"/>
      <c r="Q189" s="60"/>
      <c r="R189" s="60"/>
      <c r="S189" s="60"/>
      <c r="T189" s="60"/>
    </row>
    <row r="190" spans="14:20" x14ac:dyDescent="0.2">
      <c r="N190" s="60"/>
      <c r="O190" s="60"/>
      <c r="P190" s="60"/>
      <c r="Q190" s="60"/>
      <c r="R190" s="60"/>
      <c r="S190" s="60"/>
      <c r="T190" s="60"/>
    </row>
    <row r="191" spans="14:20" x14ac:dyDescent="0.2">
      <c r="N191" s="60"/>
      <c r="O191" s="60"/>
      <c r="P191" s="60"/>
      <c r="Q191" s="60"/>
      <c r="R191" s="60"/>
      <c r="S191" s="60"/>
      <c r="T191" s="60"/>
    </row>
    <row r="192" spans="14:20" x14ac:dyDescent="0.2">
      <c r="N192" s="60"/>
      <c r="O192" s="60"/>
      <c r="P192" s="60"/>
      <c r="Q192" s="60"/>
      <c r="R192" s="60"/>
      <c r="S192" s="60"/>
      <c r="T192" s="60"/>
    </row>
    <row r="193" spans="14:20" x14ac:dyDescent="0.2">
      <c r="N193" s="60"/>
      <c r="O193" s="60"/>
      <c r="P193" s="60"/>
      <c r="Q193" s="60"/>
      <c r="R193" s="60"/>
      <c r="S193" s="60"/>
      <c r="T193" s="60"/>
    </row>
    <row r="194" spans="14:20" x14ac:dyDescent="0.2">
      <c r="N194" s="60"/>
      <c r="O194" s="60"/>
      <c r="P194" s="60"/>
      <c r="Q194" s="60"/>
      <c r="R194" s="60"/>
      <c r="S194" s="60"/>
      <c r="T194" s="60"/>
    </row>
    <row r="195" spans="14:20" x14ac:dyDescent="0.2">
      <c r="N195" s="60"/>
      <c r="O195" s="60"/>
      <c r="P195" s="60"/>
      <c r="Q195" s="60"/>
      <c r="R195" s="60"/>
      <c r="S195" s="60"/>
      <c r="T195" s="60"/>
    </row>
    <row r="196" spans="14:20" x14ac:dyDescent="0.2">
      <c r="N196" s="60"/>
      <c r="O196" s="60"/>
      <c r="P196" s="60"/>
      <c r="Q196" s="60"/>
      <c r="R196" s="60"/>
      <c r="S196" s="60"/>
      <c r="T196" s="60"/>
    </row>
    <row r="197" spans="14:20" x14ac:dyDescent="0.2">
      <c r="N197" s="60"/>
      <c r="O197" s="60"/>
      <c r="P197" s="60"/>
      <c r="Q197" s="60"/>
      <c r="R197" s="60"/>
      <c r="S197" s="60"/>
      <c r="T197" s="60"/>
    </row>
    <row r="198" spans="14:20" x14ac:dyDescent="0.2">
      <c r="N198" s="60"/>
      <c r="O198" s="60"/>
      <c r="P198" s="60"/>
      <c r="Q198" s="60"/>
      <c r="R198" s="60"/>
      <c r="S198" s="60"/>
      <c r="T198" s="60"/>
    </row>
    <row r="199" spans="14:20" x14ac:dyDescent="0.2">
      <c r="N199" s="60"/>
      <c r="O199" s="60"/>
      <c r="P199" s="60"/>
      <c r="Q199" s="60"/>
      <c r="R199" s="60"/>
      <c r="S199" s="60"/>
      <c r="T199" s="60"/>
    </row>
    <row r="200" spans="14:20" x14ac:dyDescent="0.2">
      <c r="N200" s="60"/>
      <c r="O200" s="60"/>
      <c r="P200" s="60"/>
      <c r="Q200" s="60"/>
      <c r="R200" s="60"/>
      <c r="S200" s="60"/>
      <c r="T200" s="60"/>
    </row>
    <row r="201" spans="14:20" x14ac:dyDescent="0.2">
      <c r="N201" s="60"/>
      <c r="O201" s="60"/>
      <c r="P201" s="60"/>
      <c r="Q201" s="60"/>
      <c r="R201" s="60"/>
      <c r="S201" s="60"/>
      <c r="T201" s="60"/>
    </row>
    <row r="202" spans="14:20" x14ac:dyDescent="0.2">
      <c r="N202" s="60"/>
      <c r="O202" s="60"/>
      <c r="P202" s="60"/>
      <c r="Q202" s="60"/>
      <c r="R202" s="60"/>
      <c r="S202" s="60"/>
      <c r="T202" s="60"/>
    </row>
    <row r="203" spans="14:20" x14ac:dyDescent="0.2">
      <c r="N203" s="60"/>
      <c r="O203" s="60"/>
      <c r="P203" s="60"/>
      <c r="Q203" s="60"/>
      <c r="R203" s="60"/>
      <c r="S203" s="60"/>
      <c r="T203" s="60"/>
    </row>
    <row r="204" spans="14:20" x14ac:dyDescent="0.2">
      <c r="N204" s="60"/>
      <c r="O204" s="60"/>
      <c r="P204" s="60"/>
      <c r="Q204" s="60"/>
      <c r="R204" s="60"/>
      <c r="S204" s="60"/>
      <c r="T204" s="60"/>
    </row>
    <row r="205" spans="14:20" x14ac:dyDescent="0.2">
      <c r="N205" s="60"/>
      <c r="O205" s="60"/>
      <c r="P205" s="60"/>
      <c r="Q205" s="60"/>
      <c r="R205" s="60"/>
      <c r="S205" s="60"/>
      <c r="T205" s="60"/>
    </row>
    <row r="206" spans="14:20" x14ac:dyDescent="0.2">
      <c r="N206" s="60"/>
      <c r="O206" s="60"/>
      <c r="P206" s="60"/>
      <c r="Q206" s="60"/>
      <c r="R206" s="60"/>
      <c r="S206" s="60"/>
      <c r="T206" s="60"/>
    </row>
    <row r="207" spans="14:20" x14ac:dyDescent="0.2">
      <c r="N207" s="60"/>
      <c r="O207" s="60"/>
      <c r="P207" s="60"/>
      <c r="Q207" s="60"/>
      <c r="R207" s="60"/>
      <c r="S207" s="60"/>
      <c r="T207" s="60"/>
    </row>
    <row r="208" spans="14:20" x14ac:dyDescent="0.2">
      <c r="N208" s="60"/>
      <c r="O208" s="60"/>
      <c r="P208" s="60"/>
      <c r="Q208" s="60"/>
      <c r="R208" s="60"/>
      <c r="S208" s="60"/>
      <c r="T208" s="60"/>
    </row>
    <row r="209" spans="14:20" x14ac:dyDescent="0.2">
      <c r="N209" s="60"/>
      <c r="O209" s="60"/>
      <c r="P209" s="60"/>
      <c r="Q209" s="60"/>
      <c r="R209" s="60"/>
      <c r="S209" s="60"/>
      <c r="T209" s="60"/>
    </row>
    <row r="210" spans="14:20" x14ac:dyDescent="0.2">
      <c r="N210" s="60"/>
      <c r="O210" s="60"/>
      <c r="P210" s="60"/>
      <c r="Q210" s="60"/>
      <c r="R210" s="60"/>
      <c r="S210" s="60"/>
      <c r="T210" s="60"/>
    </row>
    <row r="211" spans="14:20" x14ac:dyDescent="0.2">
      <c r="N211" s="60"/>
      <c r="O211" s="60"/>
      <c r="P211" s="60"/>
      <c r="Q211" s="60"/>
      <c r="R211" s="60"/>
      <c r="S211" s="60"/>
      <c r="T211" s="60"/>
    </row>
    <row r="212" spans="14:20" x14ac:dyDescent="0.2">
      <c r="N212" s="60"/>
      <c r="O212" s="60"/>
      <c r="P212" s="60"/>
      <c r="Q212" s="60"/>
      <c r="R212" s="60"/>
      <c r="S212" s="60"/>
      <c r="T212" s="60"/>
    </row>
    <row r="213" spans="14:20" x14ac:dyDescent="0.2">
      <c r="N213" s="60"/>
      <c r="O213" s="60"/>
      <c r="P213" s="60"/>
      <c r="Q213" s="60"/>
      <c r="R213" s="60"/>
      <c r="S213" s="60"/>
      <c r="T213" s="60"/>
    </row>
    <row r="214" spans="14:20" x14ac:dyDescent="0.2">
      <c r="N214" s="60"/>
      <c r="O214" s="60"/>
      <c r="P214" s="60"/>
      <c r="Q214" s="60"/>
      <c r="R214" s="60"/>
      <c r="S214" s="60"/>
      <c r="T214" s="60"/>
    </row>
    <row r="215" spans="14:20" x14ac:dyDescent="0.2">
      <c r="N215" s="60"/>
      <c r="O215" s="60"/>
      <c r="P215" s="60"/>
      <c r="Q215" s="60"/>
      <c r="R215" s="60"/>
      <c r="S215" s="60"/>
      <c r="T215" s="60"/>
    </row>
    <row r="216" spans="14:20" x14ac:dyDescent="0.2">
      <c r="N216" s="60"/>
      <c r="O216" s="60"/>
      <c r="P216" s="60"/>
      <c r="Q216" s="60"/>
      <c r="R216" s="60"/>
      <c r="S216" s="60"/>
      <c r="T216" s="60"/>
    </row>
    <row r="217" spans="14:20" x14ac:dyDescent="0.2">
      <c r="N217" s="60"/>
      <c r="O217" s="60"/>
      <c r="P217" s="60"/>
      <c r="Q217" s="60"/>
      <c r="R217" s="60"/>
      <c r="S217" s="60"/>
      <c r="T217" s="60"/>
    </row>
    <row r="218" spans="14:20" x14ac:dyDescent="0.2">
      <c r="N218" s="60"/>
      <c r="O218" s="60"/>
      <c r="P218" s="60"/>
      <c r="Q218" s="60"/>
      <c r="R218" s="60"/>
      <c r="S218" s="60"/>
      <c r="T218" s="60"/>
    </row>
    <row r="219" spans="14:20" x14ac:dyDescent="0.2">
      <c r="N219" s="60"/>
      <c r="O219" s="60"/>
      <c r="P219" s="60"/>
      <c r="Q219" s="60"/>
      <c r="R219" s="60"/>
      <c r="S219" s="60"/>
      <c r="T219" s="60"/>
    </row>
    <row r="220" spans="14:20" x14ac:dyDescent="0.2">
      <c r="N220" s="60"/>
      <c r="O220" s="60"/>
      <c r="P220" s="60"/>
      <c r="Q220" s="60"/>
      <c r="R220" s="60"/>
      <c r="S220" s="60"/>
      <c r="T220" s="60"/>
    </row>
  </sheetData>
  <sheetProtection password="81D3" sheet="1" objects="1" scenarios="1" selectLockedCells="1" selectUnlockedCells="1"/>
  <mergeCells count="13">
    <mergeCell ref="B90:F90"/>
    <mergeCell ref="L21:L23"/>
    <mergeCell ref="B11:C11"/>
    <mergeCell ref="B13:C13"/>
    <mergeCell ref="M21:M23"/>
    <mergeCell ref="B16:C16"/>
    <mergeCell ref="B17:C17"/>
    <mergeCell ref="G18:J18"/>
    <mergeCell ref="B1:H1"/>
    <mergeCell ref="B2:H2"/>
    <mergeCell ref="B12:C12"/>
    <mergeCell ref="B14:C14"/>
    <mergeCell ref="B15:C15"/>
  </mergeCells>
  <pageMargins left="0.27559055118110237" right="0.27559055118110237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2017-06-08T08:04:50Z</cp:lastPrinted>
  <dcterms:created xsi:type="dcterms:W3CDTF">2013-11-07T08:01:25Z</dcterms:created>
  <dcterms:modified xsi:type="dcterms:W3CDTF">2020-11-19T06:03:14Z</dcterms:modified>
</cp:coreProperties>
</file>