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088"/>
  </bookViews>
  <sheets>
    <sheet name="2014" sheetId="6" r:id="rId1"/>
  </sheets>
  <definedNames>
    <definedName name="_xlnm._FilterDatabase" localSheetId="0" hidden="1">'2014'!$A$22:$Q$661</definedName>
  </definedNames>
  <calcPr calcId="145621"/>
</workbook>
</file>

<file path=xl/calcChain.xml><?xml version="1.0" encoding="utf-8"?>
<calcChain xmlns="http://schemas.openxmlformats.org/spreadsheetml/2006/main">
  <c r="N440" i="6" l="1"/>
  <c r="N644" i="6" l="1"/>
  <c r="N395" i="6"/>
  <c r="G395" i="6" s="1"/>
  <c r="N597" i="6"/>
  <c r="N192" i="6"/>
  <c r="G192" i="6" s="1"/>
  <c r="N557" i="6"/>
  <c r="N544" i="6"/>
  <c r="N238" i="6" l="1"/>
  <c r="N598" i="6" l="1"/>
  <c r="N318" i="6"/>
  <c r="G318" i="6" s="1"/>
  <c r="G309" i="6"/>
  <c r="N309" i="6"/>
  <c r="N76" i="6"/>
  <c r="N188" i="6"/>
  <c r="G188" i="6" s="1"/>
  <c r="N323" i="6"/>
  <c r="G323" i="6" s="1"/>
  <c r="N588" i="6"/>
  <c r="G588" i="6" s="1"/>
  <c r="N479" i="6"/>
  <c r="G479" i="6" s="1"/>
  <c r="N159" i="6"/>
  <c r="G159" i="6" s="1"/>
  <c r="N39" i="6"/>
  <c r="G39" i="6" s="1"/>
  <c r="N534" i="6"/>
  <c r="G534" i="6" s="1"/>
  <c r="N638" i="6"/>
  <c r="G638" i="6" s="1"/>
  <c r="N637" i="6"/>
  <c r="G637" i="6" s="1"/>
  <c r="N53" i="6"/>
  <c r="G53" i="6" s="1"/>
  <c r="N529" i="6"/>
  <c r="G529" i="6" s="1"/>
  <c r="N186" i="6"/>
  <c r="G186" i="6" s="1"/>
  <c r="N278" i="6"/>
  <c r="G278" i="6" s="1"/>
  <c r="N621" i="6"/>
  <c r="G621" i="6" s="1"/>
  <c r="N569" i="6"/>
  <c r="G569" i="6" s="1"/>
  <c r="N125" i="6"/>
  <c r="G125" i="6" s="1"/>
  <c r="N551" i="6"/>
  <c r="N464" i="6"/>
  <c r="G464" i="6" s="1"/>
  <c r="N370" i="6"/>
  <c r="G370" i="6" s="1"/>
  <c r="N249" i="6"/>
  <c r="G249" i="6" s="1"/>
  <c r="N413" i="6"/>
  <c r="G413" i="6" s="1"/>
  <c r="N57" i="6"/>
  <c r="G57" i="6" s="1"/>
  <c r="G440" i="6"/>
  <c r="N418" i="6"/>
  <c r="G418" i="6" s="1"/>
  <c r="N104" i="6"/>
  <c r="G104" i="6" s="1"/>
  <c r="N247" i="6"/>
  <c r="G247" i="6" s="1"/>
  <c r="N129" i="6"/>
  <c r="G129" i="6" s="1"/>
  <c r="N423" i="6"/>
  <c r="G423" i="6" s="1"/>
  <c r="N84" i="6"/>
  <c r="G84" i="6" s="1"/>
  <c r="N319" i="6"/>
  <c r="G319" i="6" s="1"/>
  <c r="N391" i="6"/>
  <c r="G391" i="6" s="1"/>
  <c r="N40" i="6"/>
  <c r="G40" i="6" s="1"/>
  <c r="N526" i="6"/>
  <c r="G526" i="6" s="1"/>
  <c r="N65" i="6"/>
  <c r="G65" i="6" s="1"/>
  <c r="N195" i="6"/>
  <c r="N147" i="6"/>
  <c r="G147" i="6" s="1"/>
  <c r="N108" i="6"/>
  <c r="G108" i="6" s="1"/>
  <c r="N414" i="6"/>
  <c r="G414" i="6" s="1"/>
  <c r="N427" i="6"/>
  <c r="G427" i="6" s="1"/>
  <c r="N161" i="6"/>
  <c r="G161" i="6" s="1"/>
  <c r="G308" i="6"/>
  <c r="N308" i="6"/>
  <c r="G436" i="6"/>
  <c r="N436" i="6"/>
  <c r="G277" i="6"/>
  <c r="N277" i="6"/>
  <c r="N347" i="6"/>
  <c r="G347" i="6"/>
  <c r="G487" i="6"/>
  <c r="N487" i="6"/>
  <c r="G463" i="6"/>
  <c r="N463" i="6"/>
  <c r="G281" i="6"/>
  <c r="N281" i="6"/>
  <c r="G460" i="6"/>
  <c r="N460" i="6"/>
  <c r="G486" i="6"/>
  <c r="N486" i="6"/>
  <c r="G461" i="6"/>
  <c r="N461" i="6"/>
  <c r="G488" i="6"/>
  <c r="N488" i="6"/>
  <c r="N623" i="6"/>
  <c r="N533" i="6"/>
  <c r="G93" i="6"/>
  <c r="N93" i="6"/>
  <c r="N155" i="6"/>
  <c r="G155" i="6" s="1"/>
  <c r="N366" i="6"/>
  <c r="G366" i="6" s="1"/>
  <c r="N365" i="6"/>
  <c r="G365" i="6" s="1"/>
  <c r="N327" i="6"/>
  <c r="G327" i="6" s="1"/>
  <c r="N399" i="6"/>
  <c r="N398" i="6"/>
  <c r="N596" i="6"/>
  <c r="N595" i="6"/>
  <c r="G71" i="6"/>
  <c r="G154" i="6"/>
  <c r="G437" i="6"/>
  <c r="N175" i="6"/>
  <c r="G175" i="6" s="1"/>
  <c r="N30" i="6"/>
  <c r="N126" i="6"/>
  <c r="G126" i="6" s="1"/>
  <c r="N241" i="6"/>
  <c r="G241" i="6" s="1"/>
  <c r="N633" i="6"/>
  <c r="G633" i="6" s="1"/>
  <c r="N35" i="6"/>
  <c r="N72" i="6"/>
  <c r="G72" i="6" s="1"/>
  <c r="N89" i="6"/>
  <c r="G89" i="6" s="1"/>
  <c r="N123" i="6"/>
  <c r="G123" i="6" s="1"/>
  <c r="N124" i="6"/>
  <c r="G124" i="6" s="1"/>
  <c r="N454" i="6"/>
  <c r="G454" i="6" s="1"/>
  <c r="N656" i="6"/>
  <c r="G239" i="6"/>
  <c r="G217" i="6"/>
  <c r="G191" i="6"/>
  <c r="G288" i="6"/>
  <c r="G472" i="6"/>
  <c r="G473" i="6"/>
  <c r="G474" i="6"/>
  <c r="G470" i="6"/>
  <c r="G469" i="6"/>
  <c r="N341" i="6" l="1"/>
  <c r="N340" i="6"/>
  <c r="N56" i="6"/>
  <c r="G56" i="6" s="1"/>
  <c r="N358" i="6"/>
  <c r="N363" i="6"/>
  <c r="N548" i="6"/>
  <c r="N114" i="6"/>
  <c r="N645" i="6" l="1"/>
  <c r="N632" i="6"/>
  <c r="N647" i="6"/>
  <c r="N648" i="6"/>
  <c r="D13" i="6" l="1"/>
  <c r="D18" i="6" s="1"/>
  <c r="D19" i="6"/>
  <c r="G13" i="6"/>
  <c r="G643" i="6"/>
  <c r="G642" i="6"/>
  <c r="G641" i="6"/>
  <c r="G640" i="6"/>
  <c r="G661" i="6"/>
  <c r="G660" i="6"/>
  <c r="N659" i="6"/>
  <c r="G659" i="6" s="1"/>
  <c r="N658" i="6"/>
  <c r="G658" i="6" s="1"/>
  <c r="N657" i="6"/>
  <c r="G657" i="6" s="1"/>
  <c r="G656" i="6"/>
  <c r="N655" i="6"/>
  <c r="N654" i="6"/>
  <c r="N653" i="6"/>
  <c r="N652" i="6"/>
  <c r="N651" i="6"/>
  <c r="N650" i="6"/>
  <c r="N649" i="6"/>
  <c r="G649" i="6" s="1"/>
  <c r="G648" i="6"/>
  <c r="G647" i="6"/>
  <c r="N646" i="6"/>
  <c r="G646" i="6" s="1"/>
  <c r="G645" i="6"/>
  <c r="N639" i="6"/>
  <c r="G639" i="6" s="1"/>
  <c r="N636" i="6"/>
  <c r="G636" i="6" s="1"/>
  <c r="N635" i="6"/>
  <c r="G635" i="6" s="1"/>
  <c r="N634" i="6"/>
  <c r="G634" i="6" s="1"/>
  <c r="G632" i="6"/>
  <c r="N631" i="6"/>
  <c r="G631" i="6" s="1"/>
  <c r="N630" i="6"/>
  <c r="G630" i="6" s="1"/>
  <c r="N629" i="6"/>
  <c r="N628" i="6"/>
  <c r="G628" i="6" s="1"/>
  <c r="N627" i="6"/>
  <c r="G627" i="6" s="1"/>
  <c r="N626" i="6"/>
  <c r="G626" i="6" s="1"/>
  <c r="N625" i="6"/>
  <c r="N624" i="6"/>
  <c r="G624" i="6" s="1"/>
  <c r="G623" i="6"/>
  <c r="N622" i="6"/>
  <c r="G622" i="6" s="1"/>
  <c r="G620" i="6"/>
  <c r="N619" i="6"/>
  <c r="N618" i="6"/>
  <c r="N617" i="6"/>
  <c r="N616" i="6"/>
  <c r="N615" i="6"/>
  <c r="N614" i="6"/>
  <c r="G614" i="6" s="1"/>
  <c r="N613" i="6"/>
  <c r="N612" i="6"/>
  <c r="N611" i="6"/>
  <c r="N610" i="6"/>
  <c r="N609" i="6"/>
  <c r="N608" i="6"/>
  <c r="N607" i="6"/>
  <c r="N606" i="6"/>
  <c r="N605" i="6"/>
  <c r="N604" i="6"/>
  <c r="N603" i="6"/>
  <c r="G603" i="6" s="1"/>
  <c r="N602" i="6"/>
  <c r="G602" i="6" s="1"/>
  <c r="N601" i="6"/>
  <c r="G601" i="6" s="1"/>
  <c r="N600" i="6"/>
  <c r="G600" i="6" s="1"/>
  <c r="N599" i="6"/>
  <c r="G599" i="6" s="1"/>
  <c r="N594" i="6"/>
  <c r="N593" i="6"/>
  <c r="N592" i="6"/>
  <c r="G592" i="6" s="1"/>
  <c r="N591" i="6"/>
  <c r="G591" i="6" s="1"/>
  <c r="N567" i="6"/>
  <c r="N562" i="6"/>
  <c r="N561" i="6"/>
  <c r="N590" i="6"/>
  <c r="N589" i="6"/>
  <c r="G589" i="6" s="1"/>
  <c r="N587" i="6"/>
  <c r="G587" i="6" s="1"/>
  <c r="N586" i="6"/>
  <c r="G586" i="6" s="1"/>
  <c r="N585" i="6"/>
  <c r="G585" i="6" s="1"/>
  <c r="N584" i="6"/>
  <c r="G584" i="6" s="1"/>
  <c r="N583" i="6"/>
  <c r="G583" i="6" s="1"/>
  <c r="N582" i="6"/>
  <c r="G582" i="6" s="1"/>
  <c r="N560" i="6"/>
  <c r="N566" i="6"/>
  <c r="N575" i="6"/>
  <c r="N581" i="6"/>
  <c r="G581" i="6" s="1"/>
  <c r="N580" i="6"/>
  <c r="N579" i="6"/>
  <c r="N578" i="6"/>
  <c r="N577" i="6"/>
  <c r="G577" i="6" s="1"/>
  <c r="N576" i="6"/>
  <c r="G576" i="6" s="1"/>
  <c r="N574" i="6"/>
  <c r="N570" i="6"/>
  <c r="N565" i="6"/>
  <c r="N563" i="6"/>
  <c r="N559" i="6"/>
  <c r="N558" i="6"/>
  <c r="G558" i="6" s="1"/>
  <c r="N556" i="6"/>
  <c r="N555" i="6"/>
  <c r="N554" i="6"/>
  <c r="N553" i="6"/>
  <c r="G553" i="6" s="1"/>
  <c r="N552" i="6"/>
  <c r="G552" i="6" s="1"/>
  <c r="G551" i="6"/>
  <c r="N550" i="6"/>
  <c r="N549" i="6"/>
  <c r="N547" i="6"/>
  <c r="N546" i="6"/>
  <c r="N545" i="6"/>
  <c r="G545" i="6" s="1"/>
  <c r="N542" i="6"/>
  <c r="N543" i="6"/>
  <c r="G543" i="6"/>
  <c r="N541" i="6"/>
  <c r="N540" i="6"/>
  <c r="N539" i="6"/>
  <c r="N538" i="6"/>
  <c r="G538" i="6" s="1"/>
  <c r="N537" i="6"/>
  <c r="G536" i="6"/>
  <c r="N536" i="6"/>
  <c r="G535" i="6"/>
  <c r="N535" i="6"/>
  <c r="G532" i="6"/>
  <c r="N532" i="6"/>
  <c r="G531" i="6"/>
  <c r="N531" i="6"/>
  <c r="G530" i="6"/>
  <c r="N530" i="6"/>
  <c r="N528" i="6"/>
  <c r="G528" i="6"/>
  <c r="N527" i="6"/>
  <c r="G527" i="6"/>
  <c r="N525" i="6"/>
  <c r="N524" i="6"/>
  <c r="G524" i="6"/>
  <c r="N523" i="6"/>
  <c r="G523" i="6"/>
  <c r="N522" i="6"/>
  <c r="G522" i="6"/>
  <c r="N521" i="6"/>
  <c r="G521" i="6"/>
  <c r="N520" i="6"/>
  <c r="G520" i="6"/>
  <c r="N519" i="6"/>
  <c r="G519" i="6"/>
  <c r="N518" i="6"/>
  <c r="N517" i="6"/>
  <c r="N516" i="6"/>
  <c r="N515" i="6"/>
  <c r="N514" i="6"/>
  <c r="N513" i="6"/>
  <c r="N512" i="6"/>
  <c r="N511" i="6"/>
  <c r="N510" i="6"/>
  <c r="G510" i="6"/>
  <c r="N509" i="6"/>
  <c r="G509" i="6"/>
  <c r="N508" i="6"/>
  <c r="G508" i="6"/>
  <c r="N507" i="6"/>
  <c r="G507" i="6"/>
  <c r="N506" i="6"/>
  <c r="G506" i="6"/>
  <c r="N505" i="6"/>
  <c r="G505" i="6"/>
  <c r="N504" i="6"/>
  <c r="G504" i="6"/>
  <c r="N503" i="6"/>
  <c r="G503" i="6"/>
  <c r="N502" i="6"/>
  <c r="G502" i="6"/>
  <c r="N501" i="6"/>
  <c r="N500" i="6"/>
  <c r="N499" i="6"/>
  <c r="N498" i="6"/>
  <c r="N497" i="6"/>
  <c r="G496" i="6"/>
  <c r="N496" i="6"/>
  <c r="G495" i="6"/>
  <c r="N495" i="6"/>
  <c r="G494" i="6"/>
  <c r="N494" i="6"/>
  <c r="G493" i="6"/>
  <c r="N493" i="6"/>
  <c r="G492" i="6"/>
  <c r="N492" i="6"/>
  <c r="G491" i="6"/>
  <c r="N491" i="6"/>
  <c r="G490" i="6"/>
  <c r="N490" i="6"/>
  <c r="G489" i="6"/>
  <c r="N489" i="6"/>
  <c r="G485" i="6"/>
  <c r="N485" i="6"/>
  <c r="G484" i="6"/>
  <c r="N484" i="6"/>
  <c r="N483" i="6"/>
  <c r="G482" i="6"/>
  <c r="N482" i="6"/>
  <c r="G481" i="6"/>
  <c r="N481" i="6"/>
  <c r="G480" i="6"/>
  <c r="N480" i="6"/>
  <c r="N478" i="6"/>
  <c r="N477" i="6"/>
  <c r="N476" i="6"/>
  <c r="N475" i="6"/>
  <c r="G471" i="6"/>
  <c r="N468" i="6"/>
  <c r="N467" i="6"/>
  <c r="N466" i="6"/>
  <c r="N465" i="6"/>
  <c r="N462" i="6"/>
  <c r="G462" i="6"/>
  <c r="N459" i="6"/>
  <c r="G459" i="6"/>
  <c r="N458" i="6"/>
  <c r="N457" i="6"/>
  <c r="N456" i="6"/>
  <c r="N455" i="6"/>
  <c r="G455" i="6"/>
  <c r="N453" i="6"/>
  <c r="G453" i="6"/>
  <c r="N452" i="6"/>
  <c r="N450" i="6"/>
  <c r="N449" i="6"/>
  <c r="G449" i="6"/>
  <c r="N448" i="6"/>
  <c r="G448" i="6"/>
  <c r="N447" i="6"/>
  <c r="G447" i="6"/>
  <c r="N446" i="6"/>
  <c r="G446" i="6"/>
  <c r="N445" i="6"/>
  <c r="G445" i="6"/>
  <c r="N444" i="6"/>
  <c r="G444" i="6"/>
  <c r="N443" i="6"/>
  <c r="G443" i="6"/>
  <c r="N442" i="6"/>
  <c r="G442" i="6"/>
  <c r="N441" i="6"/>
  <c r="G441" i="6"/>
  <c r="N439" i="6"/>
  <c r="N438" i="6"/>
  <c r="N435" i="6"/>
  <c r="N434" i="6"/>
  <c r="N433" i="6"/>
  <c r="N432" i="6"/>
  <c r="N431" i="6"/>
  <c r="G435" i="6"/>
  <c r="G434" i="6"/>
  <c r="G433" i="6"/>
  <c r="G432" i="6"/>
  <c r="G431" i="6"/>
  <c r="N430" i="6"/>
  <c r="N417" i="6"/>
  <c r="N416" i="6"/>
  <c r="N411" i="6"/>
  <c r="N410" i="6"/>
  <c r="N409" i="6"/>
  <c r="G407" i="6"/>
  <c r="N407" i="6" s="1"/>
  <c r="N405" i="6"/>
  <c r="G429" i="6"/>
  <c r="N429" i="6" s="1"/>
  <c r="N401" i="6"/>
  <c r="G428" i="6"/>
  <c r="N428" i="6" s="1"/>
  <c r="N426" i="6"/>
  <c r="N425" i="6"/>
  <c r="G424" i="6"/>
  <c r="N424" i="6" s="1"/>
  <c r="G422" i="6"/>
  <c r="N422" i="6" s="1"/>
  <c r="N419" i="6"/>
  <c r="N415" i="6"/>
  <c r="N412" i="6"/>
  <c r="N408" i="6"/>
  <c r="G406" i="6"/>
  <c r="N406" i="6" s="1"/>
  <c r="N404" i="6"/>
  <c r="N403" i="6"/>
  <c r="G402" i="6"/>
  <c r="N402" i="6" s="1"/>
  <c r="N400" i="6"/>
  <c r="N397" i="6"/>
  <c r="N396" i="6"/>
  <c r="N394" i="6"/>
  <c r="N393" i="6"/>
  <c r="N392" i="6"/>
  <c r="N390" i="6"/>
  <c r="G390" i="6"/>
  <c r="N389" i="6"/>
  <c r="N388" i="6"/>
  <c r="N387" i="6"/>
  <c r="N386" i="6"/>
  <c r="N385" i="6"/>
  <c r="N384" i="6"/>
  <c r="G384" i="6"/>
  <c r="N376" i="6"/>
  <c r="N375" i="6"/>
  <c r="G376" i="6"/>
  <c r="G375" i="6"/>
  <c r="N373" i="6"/>
  <c r="G373" i="6"/>
  <c r="N383" i="6"/>
  <c r="G382" i="6"/>
  <c r="N382" i="6"/>
  <c r="G381" i="6"/>
  <c r="N381" i="6"/>
  <c r="N380" i="6"/>
  <c r="G380" i="6"/>
  <c r="N379" i="6"/>
  <c r="G379" i="6"/>
  <c r="G378" i="6"/>
  <c r="N378" i="6"/>
  <c r="N377" i="6"/>
  <c r="G377" i="6"/>
  <c r="N374" i="6"/>
  <c r="G374" i="6"/>
  <c r="N372" i="6"/>
  <c r="G372" i="6"/>
  <c r="N371" i="6"/>
  <c r="N368" i="6"/>
  <c r="N369" i="6"/>
  <c r="G369" i="6"/>
  <c r="N367" i="6"/>
  <c r="N362" i="6"/>
  <c r="G362" i="6"/>
  <c r="N361" i="6"/>
  <c r="G361" i="6"/>
  <c r="N360" i="6"/>
  <c r="G360" i="6"/>
  <c r="N359" i="6"/>
  <c r="N356" i="6"/>
  <c r="N355" i="6"/>
  <c r="G359" i="6"/>
  <c r="N357" i="6"/>
  <c r="G356" i="6"/>
  <c r="G355" i="6"/>
  <c r="N231" i="6"/>
  <c r="N354" i="6"/>
  <c r="N353" i="6"/>
  <c r="N352" i="6"/>
  <c r="N351" i="6"/>
  <c r="N350" i="6"/>
  <c r="N349" i="6"/>
  <c r="N348" i="6"/>
  <c r="N346" i="6"/>
  <c r="N345" i="6"/>
  <c r="N344" i="6"/>
  <c r="N343" i="6"/>
  <c r="N342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6" i="6"/>
  <c r="N325" i="6"/>
  <c r="N324" i="6"/>
  <c r="N322" i="6"/>
  <c r="N321" i="6"/>
  <c r="N320" i="6"/>
  <c r="N317" i="6"/>
  <c r="N316" i="6"/>
  <c r="N315" i="6"/>
  <c r="N314" i="6"/>
  <c r="N313" i="6"/>
  <c r="N312" i="6"/>
  <c r="N311" i="6"/>
  <c r="N310" i="6"/>
  <c r="N307" i="6"/>
  <c r="N306" i="6"/>
  <c r="N305" i="6"/>
  <c r="N304" i="6"/>
  <c r="N303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6" i="6"/>
  <c r="N285" i="6"/>
  <c r="N284" i="6"/>
  <c r="N283" i="6"/>
  <c r="N282" i="6"/>
  <c r="N280" i="6"/>
  <c r="N279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8" i="6"/>
  <c r="N246" i="6"/>
  <c r="N245" i="6"/>
  <c r="N244" i="6"/>
  <c r="N243" i="6"/>
  <c r="N242" i="6"/>
  <c r="N237" i="6"/>
  <c r="N236" i="6"/>
  <c r="N235" i="6"/>
  <c r="N234" i="6"/>
  <c r="N233" i="6"/>
  <c r="N232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4" i="6"/>
  <c r="N193" i="6"/>
  <c r="N189" i="6"/>
  <c r="N187" i="6"/>
  <c r="N185" i="6"/>
  <c r="N184" i="6"/>
  <c r="N183" i="6"/>
  <c r="N182" i="6"/>
  <c r="N181" i="6"/>
  <c r="N180" i="6"/>
  <c r="N179" i="6"/>
  <c r="N178" i="6"/>
  <c r="N177" i="6"/>
  <c r="N176" i="6"/>
  <c r="N174" i="6"/>
  <c r="N173" i="6"/>
  <c r="N172" i="6"/>
  <c r="N171" i="6"/>
  <c r="N167" i="6"/>
  <c r="N166" i="6"/>
  <c r="N163" i="6"/>
  <c r="N162" i="6"/>
  <c r="N160" i="6"/>
  <c r="N158" i="6"/>
  <c r="N157" i="6"/>
  <c r="N156" i="6"/>
  <c r="N153" i="6"/>
  <c r="N152" i="6"/>
  <c r="N151" i="6"/>
  <c r="N150" i="6"/>
  <c r="N149" i="6"/>
  <c r="N148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1" i="6"/>
  <c r="N130" i="6"/>
  <c r="N128" i="6"/>
  <c r="N127" i="6"/>
  <c r="N122" i="6"/>
  <c r="N121" i="6"/>
  <c r="N120" i="6"/>
  <c r="N119" i="6"/>
  <c r="N118" i="6"/>
  <c r="N117" i="6"/>
  <c r="N116" i="6"/>
  <c r="N115" i="6"/>
  <c r="N113" i="6"/>
  <c r="N112" i="6"/>
  <c r="N111" i="6"/>
  <c r="N110" i="6"/>
  <c r="N109" i="6"/>
  <c r="N106" i="6"/>
  <c r="N105" i="6"/>
  <c r="N103" i="6"/>
  <c r="N102" i="6"/>
  <c r="N101" i="6"/>
  <c r="N100" i="6"/>
  <c r="N99" i="6"/>
  <c r="N98" i="6"/>
  <c r="N97" i="6"/>
  <c r="N96" i="6"/>
  <c r="N95" i="6"/>
  <c r="N94" i="6"/>
  <c r="N92" i="6"/>
  <c r="N91" i="6"/>
  <c r="N90" i="6"/>
  <c r="N88" i="6"/>
  <c r="N87" i="6"/>
  <c r="N86" i="6"/>
  <c r="N85" i="6"/>
  <c r="N83" i="6"/>
  <c r="N82" i="6"/>
  <c r="N81" i="6"/>
  <c r="N80" i="6"/>
  <c r="N79" i="6"/>
  <c r="N78" i="6"/>
  <c r="G78" i="6" s="1"/>
  <c r="N77" i="6"/>
  <c r="N75" i="6"/>
  <c r="N74" i="6"/>
  <c r="N73" i="6"/>
  <c r="N70" i="6"/>
  <c r="N69" i="6"/>
  <c r="N68" i="6"/>
  <c r="N67" i="6"/>
  <c r="N66" i="6"/>
  <c r="N64" i="6"/>
  <c r="N63" i="6"/>
  <c r="N62" i="6"/>
  <c r="N61" i="6"/>
  <c r="N60" i="6"/>
  <c r="N59" i="6"/>
  <c r="N58" i="6"/>
  <c r="N55" i="6"/>
  <c r="N54" i="6"/>
  <c r="N52" i="6"/>
  <c r="N51" i="6"/>
  <c r="N50" i="6"/>
  <c r="N49" i="6"/>
  <c r="N48" i="6"/>
  <c r="N47" i="6"/>
  <c r="N46" i="6"/>
  <c r="N45" i="6"/>
  <c r="N44" i="6"/>
  <c r="N43" i="6"/>
  <c r="N42" i="6"/>
  <c r="G42" i="6" s="1"/>
  <c r="N41" i="6"/>
  <c r="G41" i="6" s="1"/>
  <c r="N38" i="6"/>
  <c r="N37" i="6"/>
  <c r="N36" i="6"/>
  <c r="N34" i="6"/>
  <c r="N33" i="6"/>
  <c r="G33" i="6" s="1"/>
  <c r="N32" i="6"/>
  <c r="N31" i="6"/>
  <c r="N29" i="6"/>
  <c r="G29" i="6" s="1"/>
  <c r="N28" i="6"/>
  <c r="G28" i="6" s="1"/>
  <c r="N27" i="6"/>
  <c r="N26" i="6"/>
  <c r="N25" i="6"/>
  <c r="N24" i="6"/>
  <c r="G353" i="6"/>
  <c r="G352" i="6"/>
  <c r="G351" i="6"/>
  <c r="G350" i="6"/>
  <c r="G343" i="6"/>
  <c r="G342" i="6"/>
  <c r="G335" i="6"/>
  <c r="G334" i="6"/>
  <c r="G333" i="6"/>
  <c r="G332" i="6"/>
  <c r="G330" i="6"/>
  <c r="G329" i="6"/>
  <c r="G328" i="6"/>
  <c r="G325" i="6"/>
  <c r="G324" i="6"/>
  <c r="G322" i="6"/>
  <c r="G321" i="6"/>
  <c r="G312" i="6"/>
  <c r="G315" i="6"/>
  <c r="G314" i="6"/>
  <c r="G313" i="6"/>
  <c r="G311" i="6"/>
  <c r="G310" i="6"/>
  <c r="G304" i="6"/>
  <c r="G302" i="6"/>
  <c r="G301" i="6"/>
  <c r="G300" i="6"/>
  <c r="G299" i="6"/>
  <c r="G298" i="6"/>
  <c r="G297" i="6"/>
  <c r="G296" i="6"/>
  <c r="G295" i="6"/>
  <c r="G294" i="6"/>
  <c r="G287" i="6"/>
  <c r="G293" i="6"/>
  <c r="G292" i="6"/>
  <c r="G282" i="6"/>
  <c r="G280" i="6"/>
  <c r="G269" i="6"/>
  <c r="G268" i="6"/>
  <c r="G262" i="6"/>
  <c r="G258" i="6"/>
  <c r="G230" i="6"/>
  <c r="G246" i="6"/>
  <c r="G245" i="6"/>
  <c r="G244" i="6"/>
  <c r="G243" i="6"/>
  <c r="G242" i="6"/>
  <c r="G240" i="6"/>
  <c r="G235" i="6"/>
  <c r="G205" i="6"/>
  <c r="G204" i="6"/>
  <c r="G203" i="6"/>
  <c r="G202" i="6"/>
  <c r="G200" i="6"/>
  <c r="G199" i="6"/>
  <c r="G197" i="6"/>
  <c r="G194" i="6"/>
  <c r="G193" i="6"/>
  <c r="G189" i="6"/>
  <c r="G187" i="6"/>
  <c r="G185" i="6"/>
  <c r="G184" i="6"/>
  <c r="G178" i="6"/>
  <c r="G177" i="6"/>
  <c r="G176" i="6"/>
  <c r="G173" i="6"/>
  <c r="G172" i="6"/>
  <c r="G171" i="6"/>
  <c r="G190" i="6"/>
  <c r="G170" i="6"/>
  <c r="G169" i="6"/>
  <c r="G168" i="6"/>
  <c r="G167" i="6"/>
  <c r="G165" i="6"/>
  <c r="G164" i="6"/>
  <c r="G162" i="6"/>
  <c r="G160" i="6"/>
  <c r="G158" i="6"/>
  <c r="G153" i="6"/>
  <c r="G152" i="6"/>
  <c r="G151" i="6"/>
  <c r="G150" i="6"/>
  <c r="G149" i="6"/>
  <c r="G146" i="6"/>
  <c r="G145" i="6"/>
  <c r="G144" i="6"/>
  <c r="G143" i="6"/>
  <c r="G141" i="6"/>
  <c r="G139" i="6"/>
  <c r="G138" i="6"/>
  <c r="G137" i="6"/>
  <c r="G136" i="6"/>
  <c r="G135" i="6"/>
  <c r="G133" i="6"/>
  <c r="G132" i="6"/>
  <c r="G130" i="6"/>
  <c r="G128" i="6"/>
  <c r="G127" i="6"/>
  <c r="G122" i="6"/>
  <c r="G120" i="6"/>
  <c r="G121" i="6"/>
  <c r="G118" i="6"/>
  <c r="G111" i="6"/>
  <c r="G110" i="6"/>
  <c r="G109" i="6"/>
  <c r="G107" i="6"/>
  <c r="G105" i="6"/>
  <c r="G103" i="6"/>
  <c r="G102" i="6"/>
  <c r="G101" i="6"/>
  <c r="G100" i="6"/>
  <c r="G99" i="6"/>
  <c r="G98" i="6"/>
  <c r="G97" i="6"/>
  <c r="G96" i="6"/>
  <c r="G95" i="6"/>
  <c r="G94" i="6"/>
  <c r="G92" i="6"/>
  <c r="G91" i="6"/>
  <c r="G90" i="6"/>
  <c r="G88" i="6"/>
  <c r="G87" i="6"/>
  <c r="G86" i="6"/>
  <c r="G85" i="6"/>
  <c r="G83" i="6"/>
  <c r="G45" i="6"/>
  <c r="G46" i="6"/>
  <c r="G47" i="6"/>
  <c r="G50" i="6"/>
  <c r="G51" i="6"/>
  <c r="G52" i="6"/>
  <c r="G61" i="6"/>
  <c r="G62" i="6"/>
  <c r="G63" i="6"/>
  <c r="G82" i="6"/>
  <c r="G81" i="6"/>
  <c r="G80" i="6"/>
  <c r="G75" i="6"/>
  <c r="G74" i="6"/>
  <c r="G73" i="6"/>
  <c r="G70" i="6"/>
  <c r="E13" i="6"/>
  <c r="E18" i="6" s="1"/>
  <c r="E20" i="6" s="1"/>
  <c r="D20" i="6" l="1"/>
  <c r="G662" i="6"/>
  <c r="F12" i="6" s="1"/>
  <c r="F13" i="6" s="1"/>
  <c r="F18" i="6" s="1"/>
  <c r="N662" i="6"/>
</calcChain>
</file>

<file path=xl/sharedStrings.xml><?xml version="1.0" encoding="utf-8"?>
<sst xmlns="http://schemas.openxmlformats.org/spreadsheetml/2006/main" count="4057" uniqueCount="1341">
  <si>
    <t xml:space="preserve">ОТЧЕТ «Подари детям Жизнь» </t>
  </si>
  <si>
    <t>Дети</t>
  </si>
  <si>
    <t>USD</t>
  </si>
  <si>
    <t>Имя</t>
  </si>
  <si>
    <t>Год рождения</t>
  </si>
  <si>
    <t>Диагноз</t>
  </si>
  <si>
    <t>Дата операции</t>
  </si>
  <si>
    <t>Клиника</t>
  </si>
  <si>
    <t>Стоимость операции USD</t>
  </si>
  <si>
    <t xml:space="preserve">Спонсоры </t>
  </si>
  <si>
    <t xml:space="preserve">Курс USD на день оплаты </t>
  </si>
  <si>
    <t xml:space="preserve">Курс валюты на день оплаты </t>
  </si>
  <si>
    <t>Дата оплаты</t>
  </si>
  <si>
    <t>Новосибирск, НИИ травматологии и ортопедии</t>
  </si>
  <si>
    <t>Санкт-Петербург, Детская городская больница №19 им.К.А.Раухфуза</t>
  </si>
  <si>
    <t>Азилхан Асылжан</t>
  </si>
  <si>
    <t>Стамбул, Клиника Acibadem</t>
  </si>
  <si>
    <t>врожденная дисфункция коры надпочечников</t>
  </si>
  <si>
    <t>Москва, Российская детская клиническая больница</t>
  </si>
  <si>
    <t>Федорина Ульяна</t>
  </si>
  <si>
    <t>обширная гемангиома области лица, шеи и полости рта</t>
  </si>
  <si>
    <t>Корчагин Кирилл</t>
  </si>
  <si>
    <t>рубцовый стеноз пищевода</t>
  </si>
  <si>
    <t>2013, доплата</t>
  </si>
  <si>
    <t>Самарский областной клинический кардиологический диспансер</t>
  </si>
  <si>
    <t>Мамаев Эмиль</t>
  </si>
  <si>
    <t>органическое поражение головного мозга</t>
  </si>
  <si>
    <t>Ажикенов Мансур</t>
  </si>
  <si>
    <t>врожденный порок сердца</t>
  </si>
  <si>
    <t>дисплазия тазобедренного сустава левой стороны</t>
  </si>
  <si>
    <t>Жакиянов Ильдан</t>
  </si>
  <si>
    <t>гиперплазия щитовидной железы</t>
  </si>
  <si>
    <t>Дендеберя Егор</t>
  </si>
  <si>
    <t>гиганская опухоль головного мозга</t>
  </si>
  <si>
    <t>195 000 RUB</t>
  </si>
  <si>
    <t>Михайлова Вика</t>
  </si>
  <si>
    <t>Киев, Медицинский центр детской кардиологии и кардиохирургии</t>
  </si>
  <si>
    <t>Сатыбалды Нурдаулет</t>
  </si>
  <si>
    <t>Усов Данил</t>
  </si>
  <si>
    <t xml:space="preserve">Москва, Научный Центр здоровья детей РАМН </t>
  </si>
  <si>
    <t xml:space="preserve">Трускавец, Международная  клиника восстановительного лечения </t>
  </si>
  <si>
    <t>АО «Самрук-Қазына»</t>
  </si>
  <si>
    <t>Тула, Институт клинической реабилитологии</t>
  </si>
  <si>
    <t>20 000 RUB</t>
  </si>
  <si>
    <t>папилломатоз гортани</t>
  </si>
  <si>
    <t>Кузнецов Тимофей</t>
  </si>
  <si>
    <t>ДЦП</t>
  </si>
  <si>
    <t>Москва, реабилитационный центр "Кортекс"</t>
  </si>
  <si>
    <t>Частный спонсор</t>
  </si>
  <si>
    <t>Тольятти, реабилитационный центр «Реацентр»</t>
  </si>
  <si>
    <t>Нурханов Мади</t>
  </si>
  <si>
    <t>Кайраткызы Дильназ</t>
  </si>
  <si>
    <t>Зубайров Бекнур</t>
  </si>
  <si>
    <t>Оренбург, реабилитационный центр «Реацентр Оренбуржье»</t>
  </si>
  <si>
    <t>Голубик Виталина</t>
  </si>
  <si>
    <t xml:space="preserve">Екатеринбург, Центр восстановительной медицины </t>
  </si>
  <si>
    <t>Паламарчук Арина</t>
  </si>
  <si>
    <t>Унгирбаева Насихат</t>
  </si>
  <si>
    <t>врождённая сквозная расщелина верхней губы, мягкого и твёрдого нёба</t>
  </si>
  <si>
    <t>Имансерик Ердаулет</t>
  </si>
  <si>
    <t>Куаныш Камшат</t>
  </si>
  <si>
    <t>Рахманов Салим</t>
  </si>
  <si>
    <t>Есбол Мирас</t>
  </si>
  <si>
    <t>Алматы, РДРЦ "Балбулак"</t>
  </si>
  <si>
    <t>Болатбекулы Айболат</t>
  </si>
  <si>
    <t>Курган, Российский научный центр "Восстановительная травматология и ортопедия" им.академика Г.А.Илизарова</t>
  </si>
  <si>
    <t>Братислава, Европейская нейропсихопедагогическая лаборатория "EPSYNEL"</t>
  </si>
  <si>
    <t>Дауленкызы Кызгалдак</t>
  </si>
  <si>
    <t>Козлов Марк</t>
  </si>
  <si>
    <t>Ахмадова Аиша</t>
  </si>
  <si>
    <t>Геринг Вероника</t>
  </si>
  <si>
    <t>Жангурбаева Диана</t>
  </si>
  <si>
    <t>Жанузаков Алихан</t>
  </si>
  <si>
    <t>Жумахан Айдын</t>
  </si>
  <si>
    <t>Искаков Динмухамед</t>
  </si>
  <si>
    <t>Калиев Ержан</t>
  </si>
  <si>
    <t>Кесикбаева Акжан</t>
  </si>
  <si>
    <t>Крескас Никас</t>
  </si>
  <si>
    <t>Насырова Гульвира</t>
  </si>
  <si>
    <t>Павленко Георгий</t>
  </si>
  <si>
    <t>Сапар Амина</t>
  </si>
  <si>
    <t>Серикбай Кундыз</t>
  </si>
  <si>
    <t>Пустовалов Никита</t>
  </si>
  <si>
    <t>Литвинова София</t>
  </si>
  <si>
    <t>Мусахан Даниал</t>
  </si>
  <si>
    <t>Челябинск,  Реабилитационный центр  "Кия"</t>
  </si>
  <si>
    <t>150 000 RUB</t>
  </si>
  <si>
    <t>Алаберген Кенесары</t>
  </si>
  <si>
    <t>Джумахан Дарын</t>
  </si>
  <si>
    <t>Гутник Константин</t>
  </si>
  <si>
    <t>Жолат Ералы</t>
  </si>
  <si>
    <t>Негманов Тамерлан</t>
  </si>
  <si>
    <t>Наурызали Арсен</t>
  </si>
  <si>
    <t>Ли Екатерина</t>
  </si>
  <si>
    <t>Санкт-Петербург, Детский ортопедический институт им. Турнера</t>
  </si>
  <si>
    <t>81 000 RUB</t>
  </si>
  <si>
    <t>рожденный порок сердца</t>
  </si>
  <si>
    <t>Томск, Томский НИИ кардиологии</t>
  </si>
  <si>
    <t>эпифизарного гематогенного остеомелита</t>
  </si>
  <si>
    <t>108 000 RUB</t>
  </si>
  <si>
    <t>Самара, Реабилтационный центра "Самара"</t>
  </si>
  <si>
    <t>Джинджонг (Китай), Госпиталь Шанси</t>
  </si>
  <si>
    <t>9 000 USD</t>
  </si>
  <si>
    <t>Киев, НПМЦД кардиологии и кардиохирургии</t>
  </si>
  <si>
    <t>ретинобластома</t>
  </si>
  <si>
    <t xml:space="preserve">Емельянова Анастасия </t>
  </si>
  <si>
    <t>Электросталь, Реабилитационный центр "Ортовита"</t>
  </si>
  <si>
    <t>55 750 RUB</t>
  </si>
  <si>
    <t>Дяденко Евангелина</t>
  </si>
  <si>
    <t>Рамазанкызы Айнур</t>
  </si>
  <si>
    <t>Рамазанкызы Гульнур</t>
  </si>
  <si>
    <t>Алиакбаров Ерасыл</t>
  </si>
  <si>
    <t>эквино-варо-приведенная деформация стоп тяжелой степени, артрогриппоз</t>
  </si>
  <si>
    <t>Кононова Полина</t>
  </si>
  <si>
    <t>Серик Сабина</t>
  </si>
  <si>
    <t>Москва,ФГБУ РДКБ Минздрава России</t>
  </si>
  <si>
    <t>Нуртай Руслана</t>
  </si>
  <si>
    <t>ложный гермафродизм, врождённая дисфункция коры надпочечников, сольтеряющая форма</t>
  </si>
  <si>
    <t>Пахомова Арина</t>
  </si>
  <si>
    <t>синдром артрогрипоза обоих коленных суставов-(отсутствуют коленные чашечки), плосковальгусная установка стоп».</t>
  </si>
  <si>
    <t>Киреевская Кира</t>
  </si>
  <si>
    <t>Касым Корлан</t>
  </si>
  <si>
    <t>Лик Дарина</t>
  </si>
  <si>
    <t>медуллоэпителиома левой теменно-височно-затылочной доли головного мозга</t>
  </si>
  <si>
    <t>Новоселова Дарья</t>
  </si>
  <si>
    <t>Даулет Айкын</t>
  </si>
  <si>
    <t>Богачев Тимофей</t>
  </si>
  <si>
    <t>Толеубеккызы Адия</t>
  </si>
  <si>
    <t>351 394 KZT</t>
  </si>
  <si>
    <t>350 774 KZT</t>
  </si>
  <si>
    <t>Галаев Имран</t>
  </si>
  <si>
    <t>Балтабаева Аида</t>
  </si>
  <si>
    <t>204 120 RUB</t>
  </si>
  <si>
    <t>Койшан Ельжан</t>
  </si>
  <si>
    <t>Личман Александр</t>
  </si>
  <si>
    <t>Ахметова Даяна</t>
  </si>
  <si>
    <t>Тореахмет Мейрамбек</t>
  </si>
  <si>
    <t>долларов США</t>
  </si>
  <si>
    <t>Гололобов Иван</t>
  </si>
  <si>
    <t>опухоль головного мозга</t>
  </si>
  <si>
    <t>ретинопатия</t>
  </si>
  <si>
    <t>кавернозная гемангиома</t>
  </si>
  <si>
    <t>"Центр Тяжести", 2009</t>
  </si>
  <si>
    <t>деньги собирались на ЦТ, фонд "ДОМ" оказывал консультационную поддержку родителям, поэтому мы не включаем эти средства в общую сумму по акции "Подари детям жизнь"</t>
  </si>
  <si>
    <t>Мошечкова Виктория</t>
  </si>
  <si>
    <t>Камерденов Камиль</t>
  </si>
  <si>
    <t>Грищенко Ярослав</t>
  </si>
  <si>
    <t>Кабдолов Мерали</t>
  </si>
  <si>
    <t>EUR</t>
  </si>
  <si>
    <t>Всего детей</t>
  </si>
  <si>
    <t>Акжол Амина</t>
  </si>
  <si>
    <t>Дегтяренко Егор</t>
  </si>
  <si>
    <t>Болат Нурбек</t>
  </si>
  <si>
    <t>Айтбаев Шохрияр</t>
  </si>
  <si>
    <t>врожденная катаракта</t>
  </si>
  <si>
    <t>хроническая почечная недостаточность</t>
  </si>
  <si>
    <t>Юньчень, госпиталь исследовательского института</t>
  </si>
  <si>
    <t>Бекен Аяла</t>
  </si>
  <si>
    <t>Бекен Аянат</t>
  </si>
  <si>
    <t>Алпысбай Ислам</t>
  </si>
  <si>
    <t>Мустафин Нурсултан</t>
  </si>
  <si>
    <t>Ушурова Амина</t>
  </si>
  <si>
    <t>Москва, Реабилитационный центр "Кортекс"</t>
  </si>
  <si>
    <t>Новосибирск, НИИ патологии кровообращения им. Е.Н.Мешалкина</t>
  </si>
  <si>
    <t>Жайнак Айдын</t>
  </si>
  <si>
    <t>Москва, Научно-терапевтический Центр по профилактике и лечению психоневрологической инвалидности</t>
  </si>
  <si>
    <t>Балташова Айдана</t>
  </si>
  <si>
    <t>9 800 USD</t>
  </si>
  <si>
    <t>Рахымжан Жасмина</t>
  </si>
  <si>
    <t>159 650 RUB</t>
  </si>
  <si>
    <t>Позднякова Милана</t>
  </si>
  <si>
    <t>Сергеева Софья</t>
  </si>
  <si>
    <t>Акимова Вера</t>
  </si>
  <si>
    <t>Фисун Виктория</t>
  </si>
  <si>
    <t>Навольская Виктория</t>
  </si>
  <si>
    <t>Липомиеломенингоцеле с субтотальным удалением интра-экстрадуальной липомы. Миелопатия</t>
  </si>
  <si>
    <t>Амиркумарова Назлы</t>
  </si>
  <si>
    <t>Кусаинов Мансур</t>
  </si>
  <si>
    <t>Мустафазаде Абукар</t>
  </si>
  <si>
    <t>Федоров Даниил</t>
  </si>
  <si>
    <t>врожденный порок сердца с высокой легочной гипертензией.</t>
  </si>
  <si>
    <t>Жанабаев Артур</t>
  </si>
  <si>
    <t>Банников Илья</t>
  </si>
  <si>
    <t>врожденная миопия высокой степени,осевая,осложненная,развитая,с астигматизмом.Амблиопия высокой степени</t>
  </si>
  <si>
    <t>Уфа, Всероссий центр глазной и пластической хирургии</t>
  </si>
  <si>
    <t>1 300 USD</t>
  </si>
  <si>
    <t>Гасанов Исмаил</t>
  </si>
  <si>
    <t>Аскаров Арыстан</t>
  </si>
  <si>
    <t>Ардакулы Кайсар</t>
  </si>
  <si>
    <t>Аргынгазы Сейтхан</t>
  </si>
  <si>
    <t>Кисамиден Аман</t>
  </si>
  <si>
    <t>Калдыбеков Даулет</t>
  </si>
  <si>
    <t>Камерденова Ясмин</t>
  </si>
  <si>
    <t>Багдат Газиз</t>
  </si>
  <si>
    <t>Серикказы Бахытжан</t>
  </si>
  <si>
    <t>Аманбаева Амелия</t>
  </si>
  <si>
    <t>Ажим Дастан</t>
  </si>
  <si>
    <t>3 755 EUR</t>
  </si>
  <si>
    <t>Гладких Алексей</t>
  </si>
  <si>
    <t>198 000 RUB</t>
  </si>
  <si>
    <t>Харбин (Китай), Реабилитационный центр</t>
  </si>
  <si>
    <t>АНО Клиника травматологии,ортопедии и нейрохирургии НИИТО</t>
  </si>
  <si>
    <t>Москва, Росийский научный центр рентгенорадиологии</t>
  </si>
  <si>
    <t>Джинджонг (Китай), госпиталь Шанси</t>
  </si>
  <si>
    <t>30 000 RUB</t>
  </si>
  <si>
    <t>Шайзада Батырхан</t>
  </si>
  <si>
    <t>Долгушина Ева</t>
  </si>
  <si>
    <t>Тогызбаев Бакдаулет</t>
  </si>
  <si>
    <t>Новосибирск, Клиника "Санитас"</t>
  </si>
  <si>
    <t>перенесенный инсульт, правосторонний имипарез</t>
  </si>
  <si>
    <t>Ермек Балнур</t>
  </si>
  <si>
    <t>Масекенова Аружан</t>
  </si>
  <si>
    <t>70 850 RUB</t>
  </si>
  <si>
    <t>7 000 USD</t>
  </si>
  <si>
    <t>Махмеджан Камила</t>
  </si>
  <si>
    <t>Курманбаева Раушан</t>
  </si>
  <si>
    <t>Аширбаева Мерей</t>
  </si>
  <si>
    <t>Сатыбалдиева Раида</t>
  </si>
  <si>
    <t>Самара, СТК Реацентр</t>
  </si>
  <si>
    <t>Сыздыкова Камила</t>
  </si>
  <si>
    <t>Хоменко София</t>
  </si>
  <si>
    <t>билатеральный вывих бедра</t>
  </si>
  <si>
    <t>Карпун Артем</t>
  </si>
  <si>
    <t>экстрофия мочевого пузыря,полная эписпадия,двухсторонняя паховая грыжа</t>
  </si>
  <si>
    <t>Литвинова Анна</t>
  </si>
  <si>
    <t>Утежанов Ермек</t>
  </si>
  <si>
    <t>Сагындык Акжол</t>
  </si>
  <si>
    <t>3 000 USD</t>
  </si>
  <si>
    <t>Богданова Карина</t>
  </si>
  <si>
    <t>Галата Милана</t>
  </si>
  <si>
    <t>Есенгельды Темирлан</t>
  </si>
  <si>
    <t>Ботабекова Анара</t>
  </si>
  <si>
    <t>Сайрамбай Нурсултан</t>
  </si>
  <si>
    <t>Канджарбеков Елжан</t>
  </si>
  <si>
    <t>перинатальное поражение головного мозга,врожденная внутренняя гидроцефалия</t>
  </si>
  <si>
    <t>Тасымбек Асанали</t>
  </si>
  <si>
    <t>Ильяс Ержан</t>
  </si>
  <si>
    <t>Васильев Давид</t>
  </si>
  <si>
    <t>Стамбул (Турция), Medical Park Saglik Hizmetteri A.S.</t>
  </si>
  <si>
    <t>дилатационная кардимиопатия</t>
  </si>
  <si>
    <t>Дели (Индия), Клиника Фортис</t>
  </si>
  <si>
    <t>Юньчень (Китай), Госпиталь исследовательского института</t>
  </si>
  <si>
    <t>Пекин(Китай), Госпиталь Ли-Чао</t>
  </si>
  <si>
    <t>Новосибирск (РФ), Клиника травматологии, ортопедии и нейрохирургии НИИТО</t>
  </si>
  <si>
    <t>12 000 USD</t>
  </si>
  <si>
    <t>Самара, Реацентр "Самара"</t>
  </si>
  <si>
    <t>3 400 EUR</t>
  </si>
  <si>
    <t>3 894 EUR</t>
  </si>
  <si>
    <t>3 712 EUR</t>
  </si>
  <si>
    <t>Исенов Алемжан</t>
  </si>
  <si>
    <t>Оспанов Амир</t>
  </si>
  <si>
    <t>Мухтарова Анита</t>
  </si>
  <si>
    <t>Касымова Гульназ</t>
  </si>
  <si>
    <t>Смирнова Анастасия</t>
  </si>
  <si>
    <t>ротационный подвывих, вторичный верхний парапарез</t>
  </si>
  <si>
    <t>Бангкок (Таиланд), Клиника Bumrungrad Hospital</t>
  </si>
  <si>
    <t>Таубалдиева Тамирис</t>
  </si>
  <si>
    <t>Сеул(Корея),клиника"Чунг-анг"</t>
  </si>
  <si>
    <t>4 000 USD</t>
  </si>
  <si>
    <t>Филипе Алан</t>
  </si>
  <si>
    <t>Макаров Матвей</t>
  </si>
  <si>
    <t>Искаков Нурдаулет</t>
  </si>
  <si>
    <t>135 250 RUB</t>
  </si>
  <si>
    <t>101 350 RUB</t>
  </si>
  <si>
    <t>137 500 RUB</t>
  </si>
  <si>
    <t>Иргали Айдын</t>
  </si>
  <si>
    <t>Челябинск,ООО Медицинский центр Сакура</t>
  </si>
  <si>
    <t>Кол-во операций в 2014</t>
  </si>
  <si>
    <t>Кол-во операций 2007 -2014</t>
  </si>
  <si>
    <t xml:space="preserve">2014, 2 к/лечения </t>
  </si>
  <si>
    <t>ВСЕГО ЗА 2014</t>
  </si>
  <si>
    <t>11 500 USD</t>
  </si>
  <si>
    <t>2014, доплата</t>
  </si>
  <si>
    <t>5 000 USD</t>
  </si>
  <si>
    <t>ВСЕГО ПО АКЦИИ "ПОДАРИ ДЕТЯМ ЖИЗНЬ" 2007 - 2014</t>
  </si>
  <si>
    <t>Лабало Сара</t>
  </si>
  <si>
    <t>4255,36 EUR</t>
  </si>
  <si>
    <t>Акрам Даулет</t>
  </si>
  <si>
    <t>88 850 RUB</t>
  </si>
  <si>
    <t>1 500 USD</t>
  </si>
  <si>
    <t>Керимов Рустам</t>
  </si>
  <si>
    <t>Бурдаков Богдан</t>
  </si>
  <si>
    <t>47 300 RUB</t>
  </si>
  <si>
    <t>Наурызбаева Нурай</t>
  </si>
  <si>
    <t>92 100 RUB</t>
  </si>
  <si>
    <t>165 800 RUB</t>
  </si>
  <si>
    <t>Елубай Акниет</t>
  </si>
  <si>
    <t>Джанабаев Санжар</t>
  </si>
  <si>
    <t>Чехия.г Теплица ООО"Термалкурорт"</t>
  </si>
  <si>
    <t>Улыбышева Полина</t>
  </si>
  <si>
    <t>Кабжапаров Сункар</t>
  </si>
  <si>
    <t>Рег.благот-й фонд. Центр Г.Н.Романова</t>
  </si>
  <si>
    <t>Варшава (Польша), Центр интенсивной терапии</t>
  </si>
  <si>
    <t>Трускавец, Международная клиника восст.лечения</t>
  </si>
  <si>
    <t xml:space="preserve">2014, 4 к/лечения </t>
  </si>
  <si>
    <t>Челябинск, Медицинский центр "Сакура"</t>
  </si>
  <si>
    <t xml:space="preserve">Астана, Республиканский детский реаб.центр </t>
  </si>
  <si>
    <t>Сеул (Корея), Клиника Lim Dong</t>
  </si>
  <si>
    <t xml:space="preserve">Шумский Александр </t>
  </si>
  <si>
    <t xml:space="preserve">Новосибирск, Клиника "Салюс" </t>
  </si>
  <si>
    <t>Москва, НПЦ  челюстно-лицевая.</t>
  </si>
  <si>
    <t xml:space="preserve">2014, 2 операция </t>
  </si>
  <si>
    <t>Жангазин Аскар</t>
  </si>
  <si>
    <t>Олжабаев Олжас</t>
  </si>
  <si>
    <t>анапластическая эпендиома</t>
  </si>
  <si>
    <t>Берлин (Германия), Клиника Charite International</t>
  </si>
  <si>
    <t>16 170 EUR</t>
  </si>
  <si>
    <t>Рапилбек Камилла</t>
  </si>
  <si>
    <t>аутизм</t>
  </si>
  <si>
    <t>Кушенева Камила</t>
  </si>
  <si>
    <t>Андреев Матвей</t>
  </si>
  <si>
    <t>Аникина Лаура</t>
  </si>
  <si>
    <t>Вдовенко Даниил</t>
  </si>
  <si>
    <t>Свинцицкая Владислава</t>
  </si>
  <si>
    <t>101 800 RUB</t>
  </si>
  <si>
    <t>101 200 RUB</t>
  </si>
  <si>
    <t>10 880 RUB</t>
  </si>
  <si>
    <t>2014,2 к/лечения</t>
  </si>
  <si>
    <t>Жакан Дамир</t>
  </si>
  <si>
    <t>несовер.остеогенез,гипокинетический остеопороз</t>
  </si>
  <si>
    <t>хр.почечная недостаточность</t>
  </si>
  <si>
    <t>За счет "ПДЖ"</t>
  </si>
  <si>
    <t>ООО Реацентр Оренбуржье, Оренбург</t>
  </si>
  <si>
    <t>Джинджонг (Китай), Гсопиталь Шанси</t>
  </si>
  <si>
    <t>Трускавец, Международная клиника</t>
  </si>
  <si>
    <t xml:space="preserve">3 894 EUR </t>
  </si>
  <si>
    <t xml:space="preserve">2 360 EUR </t>
  </si>
  <si>
    <t xml:space="preserve">167 250 RUB </t>
  </si>
  <si>
    <t>ООО Реацентр Самара, Самара</t>
  </si>
  <si>
    <t>вторичная смешанная</t>
  </si>
  <si>
    <t>Санкт-Петербург (РФ), ФГБУ РНХИ</t>
  </si>
  <si>
    <t>консолидирующий перелом нижней</t>
  </si>
  <si>
    <t>гемангиома гортани, хронический</t>
  </si>
  <si>
    <t>Москва, Морозовская детская городская</t>
  </si>
  <si>
    <t>67 400 RUB</t>
  </si>
  <si>
    <t>Марков Артем</t>
  </si>
  <si>
    <t>родился с одним глазом</t>
  </si>
  <si>
    <t xml:space="preserve">24 500 RUB </t>
  </si>
  <si>
    <t>Куатбек Нурбакыт</t>
  </si>
  <si>
    <t>требуется пересадка радужной оболочки</t>
  </si>
  <si>
    <t>Стамбул (Турция), ЕСК Saglik ve Asistans Hizmetteri</t>
  </si>
  <si>
    <t xml:space="preserve"> 16 000 USD</t>
  </si>
  <si>
    <t>Самара, Областной клинический</t>
  </si>
  <si>
    <t>239 695 RUB</t>
  </si>
  <si>
    <t>Биджиева Луиза</t>
  </si>
  <si>
    <t>краниофарингиома головного мозга</t>
  </si>
  <si>
    <t>Москва, НИИ нейрохирургии</t>
  </si>
  <si>
    <t>2014, 5 курс</t>
  </si>
  <si>
    <t>Омск, БУЗОО Областная детская клиническая</t>
  </si>
  <si>
    <t>68 360 RUB</t>
  </si>
  <si>
    <t>Годяева Ксения</t>
  </si>
  <si>
    <t>тотальная алопеция, атопический дерматит</t>
  </si>
  <si>
    <t>Халле (Германия), Университетская клиника Халле</t>
  </si>
  <si>
    <t>Саменов Султанали</t>
  </si>
  <si>
    <t>гликогенез, лактозная недостаточность</t>
  </si>
  <si>
    <t>Опухоль Вильмса</t>
  </si>
  <si>
    <t>Сеул (Корея), Клиника "Чунганг"</t>
  </si>
  <si>
    <t>2014, 3 к/лечения</t>
  </si>
  <si>
    <t>189 100 RUB</t>
  </si>
  <si>
    <t>Жахин Жанат</t>
  </si>
  <si>
    <t>6 000 USD</t>
  </si>
  <si>
    <t>2014, 8 к/лечения</t>
  </si>
  <si>
    <t>82 015 RUB</t>
  </si>
  <si>
    <t>Кенжебай Айым</t>
  </si>
  <si>
    <t>2014, 3 операция</t>
  </si>
  <si>
    <t>Жаксылык Жалгас</t>
  </si>
  <si>
    <t>197 485 RUB</t>
  </si>
  <si>
    <t>Абдрахманов Алишер</t>
  </si>
  <si>
    <t>168 500 RUB</t>
  </si>
  <si>
    <t>Курочкин Даниил</t>
  </si>
  <si>
    <t>166 100 RUB</t>
  </si>
  <si>
    <t>Жанабилов Рауан</t>
  </si>
  <si>
    <t>160 800 RUB</t>
  </si>
  <si>
    <t>Джаналиева Дильдана</t>
  </si>
  <si>
    <t>Беда Кирилл</t>
  </si>
  <si>
    <t>173 000 RUB</t>
  </si>
  <si>
    <t>Харитонов Дмитрий</t>
  </si>
  <si>
    <t>99 500 RUB</t>
  </si>
  <si>
    <t>115 950 RUB</t>
  </si>
  <si>
    <t>Кумаладзе Севиля</t>
  </si>
  <si>
    <t>Садвакасова Жанель</t>
  </si>
  <si>
    <t>59 800 RUB</t>
  </si>
  <si>
    <t>Закир Нурпезент</t>
  </si>
  <si>
    <t xml:space="preserve">2014, 3 к/лечения </t>
  </si>
  <si>
    <t>105 000 RUB</t>
  </si>
  <si>
    <t>Ануар Бекторе</t>
  </si>
  <si>
    <t>Флят Святослав</t>
  </si>
  <si>
    <t xml:space="preserve">Малявская Вероника </t>
  </si>
  <si>
    <t>191 525 RUB</t>
  </si>
  <si>
    <t>162 940 RUB</t>
  </si>
  <si>
    <t>Турдиев Ислам</t>
  </si>
  <si>
    <t>103 475 RUB</t>
  </si>
  <si>
    <t>124 350 RUB</t>
  </si>
  <si>
    <t>Рамазан Ерали</t>
  </si>
  <si>
    <t>2014, (2)</t>
  </si>
  <si>
    <t>Елубай Адилет</t>
  </si>
  <si>
    <t>155 000 KZT</t>
  </si>
  <si>
    <t>Палазник Наталья</t>
  </si>
  <si>
    <t>Болат Айбол</t>
  </si>
  <si>
    <t>Алиев Арсен</t>
  </si>
  <si>
    <t>Бейсембинов Арлан</t>
  </si>
  <si>
    <t>Какжанов Амир</t>
  </si>
  <si>
    <t>Бейсембинова Аяулым</t>
  </si>
  <si>
    <t>2 632 USD</t>
  </si>
  <si>
    <t>Ястребов С.Л.</t>
  </si>
  <si>
    <t>347 195 RUB</t>
  </si>
  <si>
    <t>ВПС (врожд.порок сердца)</t>
  </si>
  <si>
    <t>Дидар Абдуали</t>
  </si>
  <si>
    <t>6 500 USD</t>
  </si>
  <si>
    <t>Остеосоркома</t>
  </si>
  <si>
    <t>Мадигайса Аружан</t>
  </si>
  <si>
    <t>153 600 RUB</t>
  </si>
  <si>
    <t>108 500 RUB</t>
  </si>
  <si>
    <t>Бергарипова Маджида</t>
  </si>
  <si>
    <t>178 800 RUB</t>
  </si>
  <si>
    <t>Кашкова Аяулым</t>
  </si>
  <si>
    <t>Гасанова Найна</t>
  </si>
  <si>
    <t>295 385 RUB</t>
  </si>
  <si>
    <t>Уалиханова Алия</t>
  </si>
  <si>
    <t>Солдатов Никита</t>
  </si>
  <si>
    <t>312 185 RUB</t>
  </si>
  <si>
    <t>190 585 RUB</t>
  </si>
  <si>
    <t>Кузнецов Артем</t>
  </si>
  <si>
    <t>Сеул, (Корея). Клиника Lim Dong</t>
  </si>
  <si>
    <t>Сексенбай Ильяс</t>
  </si>
  <si>
    <t>450 000 KZT</t>
  </si>
  <si>
    <t>Сексенбай Усман</t>
  </si>
  <si>
    <t>182,1</t>
  </si>
  <si>
    <t>50% - Самрук, 50% - ПДЖ</t>
  </si>
  <si>
    <t xml:space="preserve">ПДЖ </t>
  </si>
  <si>
    <t>ч/спонсор</t>
  </si>
  <si>
    <t>50% - Самрук, 50% - частный спонсор</t>
  </si>
  <si>
    <t>иниц.группа "Успех"</t>
  </si>
  <si>
    <t>СК "Лондон-Алматы"</t>
  </si>
  <si>
    <t>АО «Самрук-Казына"</t>
  </si>
  <si>
    <t>2014 (2)</t>
  </si>
  <si>
    <t>2014, 2 курс</t>
  </si>
  <si>
    <t>119 700 RUB</t>
  </si>
  <si>
    <t>4,97</t>
  </si>
  <si>
    <t>Звонова Дарья</t>
  </si>
  <si>
    <t>111 100 RUB</t>
  </si>
  <si>
    <t>4,98</t>
  </si>
  <si>
    <t>Курбанов Арсен</t>
  </si>
  <si>
    <t>187 000 RUB</t>
  </si>
  <si>
    <t>2014, 4 курс</t>
  </si>
  <si>
    <t>39 650 RUB</t>
  </si>
  <si>
    <t>Бейбитова Каусар</t>
  </si>
  <si>
    <t>Сражатдин Жамил</t>
  </si>
  <si>
    <t>182,06</t>
  </si>
  <si>
    <t>253,17</t>
  </si>
  <si>
    <t>Тлеубаева Карина</t>
  </si>
  <si>
    <t>ДЦП, Аутизм</t>
  </si>
  <si>
    <t>ООО Реацентр, Астрахань</t>
  </si>
  <si>
    <t>33 950 RUB</t>
  </si>
  <si>
    <t>4,96</t>
  </si>
  <si>
    <t>2014, 2курс</t>
  </si>
  <si>
    <t>68 000,17 RUB</t>
  </si>
  <si>
    <t>224 500 RUB</t>
  </si>
  <si>
    <t>209 500 RUB</t>
  </si>
  <si>
    <t>210 500 RUB</t>
  </si>
  <si>
    <t>Аширов Азиз</t>
  </si>
  <si>
    <t>пересадка почек</t>
  </si>
  <si>
    <t>182,04</t>
  </si>
  <si>
    <t>Шефер Егор</t>
  </si>
  <si>
    <t>198 300 RUB</t>
  </si>
  <si>
    <t>5,05</t>
  </si>
  <si>
    <t>2014, 4 курс/леч.</t>
  </si>
  <si>
    <t>233 800 RUB</t>
  </si>
  <si>
    <t>Зяблицкий Ярослав</t>
  </si>
  <si>
    <t>202 900 RUB</t>
  </si>
  <si>
    <t>Рахим Алинур</t>
  </si>
  <si>
    <t>Адилбай Арнур</t>
  </si>
  <si>
    <t>116 400 RUB</t>
  </si>
  <si>
    <t>2014, 2 курс/леч.</t>
  </si>
  <si>
    <t>Сосновский Назар</t>
  </si>
  <si>
    <t>остеогеноз</t>
  </si>
  <si>
    <t>182,02</t>
  </si>
  <si>
    <t>Чех Анна</t>
  </si>
  <si>
    <t>гиперкератоз левой стопы, рекурвация коленного сустава</t>
  </si>
  <si>
    <t>182,08</t>
  </si>
  <si>
    <t>251,16</t>
  </si>
  <si>
    <t>Орынбасар Серикбол</t>
  </si>
  <si>
    <t>5,14</t>
  </si>
  <si>
    <t>Орынбасар Аман</t>
  </si>
  <si>
    <t>205 800 RUB</t>
  </si>
  <si>
    <t>Каиржан Айбар</t>
  </si>
  <si>
    <t>Даулбаев Амир</t>
  </si>
  <si>
    <t>182,05</t>
  </si>
  <si>
    <t>29,3</t>
  </si>
  <si>
    <t>1700  USD</t>
  </si>
  <si>
    <t>Шертай Ескендир</t>
  </si>
  <si>
    <t>Рахматулин Темирлан</t>
  </si>
  <si>
    <t>218 853 KZT</t>
  </si>
  <si>
    <t>Курманали Меиржан</t>
  </si>
  <si>
    <t>304 919 KZT</t>
  </si>
  <si>
    <t>Бахытбекулы Алижан</t>
  </si>
  <si>
    <t>250,21</t>
  </si>
  <si>
    <t>274 752 KZT</t>
  </si>
  <si>
    <t>182,03</t>
  </si>
  <si>
    <t>Казбек Гаухар</t>
  </si>
  <si>
    <t>194 712 KZT</t>
  </si>
  <si>
    <t>Мусанова Севиль</t>
  </si>
  <si>
    <t>Базарбай Назерке</t>
  </si>
  <si>
    <t>Базарбай Жанерке</t>
  </si>
  <si>
    <t>Сурова Далия</t>
  </si>
  <si>
    <t>171 264 RUB</t>
  </si>
  <si>
    <t>5,12</t>
  </si>
  <si>
    <t>Зуев Егор</t>
  </si>
  <si>
    <t>201 710 RUB</t>
  </si>
  <si>
    <t>156 660 RUB</t>
  </si>
  <si>
    <t>Федишин Илья</t>
  </si>
  <si>
    <t>8 313 USD</t>
  </si>
  <si>
    <t>Абзалбек Алихан</t>
  </si>
  <si>
    <t>Русланулы Ислам</t>
  </si>
  <si>
    <t>116 100 RUB</t>
  </si>
  <si>
    <t>Даирхан Даниель</t>
  </si>
  <si>
    <t>Русланулы Агзам</t>
  </si>
  <si>
    <t>290 200 RUB</t>
  </si>
  <si>
    <t>Канбарова Фидан</t>
  </si>
  <si>
    <t>8 864 USD</t>
  </si>
  <si>
    <t>Нуранова Томирис</t>
  </si>
  <si>
    <t>8 214,7 USD</t>
  </si>
  <si>
    <t>Смаилов Каирбек</t>
  </si>
  <si>
    <t>8 765,5 USD</t>
  </si>
  <si>
    <t>2014, 3 курс/леч.</t>
  </si>
  <si>
    <t>249,5</t>
  </si>
  <si>
    <t>30 300 RUB</t>
  </si>
  <si>
    <t>247 350 RUB</t>
  </si>
  <si>
    <t>Тасмаганбетов Рамазан</t>
  </si>
  <si>
    <t>ООО МЦ "Своя Надежда"</t>
  </si>
  <si>
    <t>82 100 RUB</t>
  </si>
  <si>
    <t>Кадыров Максат</t>
  </si>
  <si>
    <t xml:space="preserve">Турдиев Ислам </t>
  </si>
  <si>
    <t>Детская гор.больница 19 им.К.А.Раухфуса</t>
  </si>
  <si>
    <t>Сиянь Брайн, Пекин</t>
  </si>
  <si>
    <t>36 000 CNY</t>
  </si>
  <si>
    <t>2014,(3)</t>
  </si>
  <si>
    <t>182,07</t>
  </si>
  <si>
    <t>5,165</t>
  </si>
  <si>
    <t>Думанова Еркежан</t>
  </si>
  <si>
    <t>2014 (3)</t>
  </si>
  <si>
    <t>211 150 RUB</t>
  </si>
  <si>
    <t>182,01</t>
  </si>
  <si>
    <t>5,157</t>
  </si>
  <si>
    <t>Бижанов Марлен</t>
  </si>
  <si>
    <t>58 000 RUB</t>
  </si>
  <si>
    <t>5,107</t>
  </si>
  <si>
    <t>52 550 RUB</t>
  </si>
  <si>
    <t>167 300 RUB</t>
  </si>
  <si>
    <t>Мадиев Арнур</t>
  </si>
  <si>
    <t>254,87</t>
  </si>
  <si>
    <t>Еркенказы Айзере</t>
  </si>
  <si>
    <t>182,65</t>
  </si>
  <si>
    <t>Миндалиева Гаухар</t>
  </si>
  <si>
    <t>Комов Артем</t>
  </si>
  <si>
    <t>Салмов Георгий</t>
  </si>
  <si>
    <t>Галкин Данил</t>
  </si>
  <si>
    <t>Нурпеисова Дина</t>
  </si>
  <si>
    <t>Рахимберды Расул</t>
  </si>
  <si>
    <t>Кабжанова Далила</t>
  </si>
  <si>
    <t>8 331 USD</t>
  </si>
  <si>
    <t>Бериков Адил</t>
  </si>
  <si>
    <t>Благодарный Максим</t>
  </si>
  <si>
    <t>8 272 USD</t>
  </si>
  <si>
    <t>Кобзарев Роман</t>
  </si>
  <si>
    <t xml:space="preserve"> 400 USD</t>
  </si>
  <si>
    <t xml:space="preserve"> 9 000 USD</t>
  </si>
  <si>
    <t xml:space="preserve"> 9 800 USD</t>
  </si>
  <si>
    <t>онкология</t>
  </si>
  <si>
    <t>Гусманов Арлен</t>
  </si>
  <si>
    <t xml:space="preserve"> 9 684 USD</t>
  </si>
  <si>
    <t>Гусманов Арсен</t>
  </si>
  <si>
    <t xml:space="preserve"> 8 208 USD</t>
  </si>
  <si>
    <t>Айтыбекова Аружан</t>
  </si>
  <si>
    <t xml:space="preserve"> 8 272 USD</t>
  </si>
  <si>
    <t>Рашидов Ержан</t>
  </si>
  <si>
    <t xml:space="preserve"> 8 705 USD</t>
  </si>
  <si>
    <t>Ерик Амир</t>
  </si>
  <si>
    <t xml:space="preserve"> 8 338 USD</t>
  </si>
  <si>
    <t>Джерембаев Ерсултан</t>
  </si>
  <si>
    <t xml:space="preserve"> 5 300 USD</t>
  </si>
  <si>
    <t xml:space="preserve"> 5 000 USD</t>
  </si>
  <si>
    <t>Дуйсебай Еркебулан</t>
  </si>
  <si>
    <t>Гафиятулин Мансурали</t>
  </si>
  <si>
    <t>312 EUR</t>
  </si>
  <si>
    <t>254,14</t>
  </si>
  <si>
    <t>2014, 5 курс/леч.</t>
  </si>
  <si>
    <t xml:space="preserve"> 9 200 USD</t>
  </si>
  <si>
    <t>Мухаметбеков Алдияр</t>
  </si>
  <si>
    <t>Назимов Тахир</t>
  </si>
  <si>
    <t>94 918 KZT</t>
  </si>
  <si>
    <t>Абилхасим Малика</t>
  </si>
  <si>
    <t>5,1</t>
  </si>
  <si>
    <t>Ищенко Арсений</t>
  </si>
  <si>
    <t>52 502 RUB</t>
  </si>
  <si>
    <t>107 030 RUB</t>
  </si>
  <si>
    <t>Попова Лилия</t>
  </si>
  <si>
    <t>58 340 RUB</t>
  </si>
  <si>
    <t>5,07</t>
  </si>
  <si>
    <t>52 700 RUB</t>
  </si>
  <si>
    <t>20 075 RUB</t>
  </si>
  <si>
    <t>диформирующая мышечная дистания</t>
  </si>
  <si>
    <t>Доплата</t>
  </si>
  <si>
    <t>5,172</t>
  </si>
  <si>
    <t>182,55</t>
  </si>
  <si>
    <t>Латыпова Анастасия</t>
  </si>
  <si>
    <t>Ягудина Яна</t>
  </si>
  <si>
    <t>Кудайкул Нурдаулет</t>
  </si>
  <si>
    <t xml:space="preserve"> 8 000 USD</t>
  </si>
  <si>
    <t>эпилепсия, резистентная к терапии со снижением интеллекта</t>
  </si>
  <si>
    <t>182,6</t>
  </si>
  <si>
    <t>2014, 6 курс/леч.</t>
  </si>
  <si>
    <t xml:space="preserve"> 2 000 USD</t>
  </si>
  <si>
    <t>2014, 7 курс/леч.</t>
  </si>
  <si>
    <t xml:space="preserve"> 3 000 USD</t>
  </si>
  <si>
    <t>Гриценко Богдан</t>
  </si>
  <si>
    <t>145 500 RUB</t>
  </si>
  <si>
    <t>Кали Айбек</t>
  </si>
  <si>
    <t xml:space="preserve"> 7 935 USD</t>
  </si>
  <si>
    <t xml:space="preserve"> 7 925 USD</t>
  </si>
  <si>
    <t xml:space="preserve"> 7 961 USD</t>
  </si>
  <si>
    <t>Абдрахманов Адиль</t>
  </si>
  <si>
    <t>Бейсембаев Батырхан</t>
  </si>
  <si>
    <t>Алжан Динмухамед</t>
  </si>
  <si>
    <t>254,27</t>
  </si>
  <si>
    <t>Термалкурорт, Чехия</t>
  </si>
  <si>
    <t>2014, (3)</t>
  </si>
  <si>
    <t>6 707 RUB</t>
  </si>
  <si>
    <t>284 850 RUB</t>
  </si>
  <si>
    <t>5,143</t>
  </si>
  <si>
    <t xml:space="preserve">2013, 3 курс/леч. </t>
  </si>
  <si>
    <t>Кайроллаева Алуа</t>
  </si>
  <si>
    <t>Дуйсенгали Шынгыс</t>
  </si>
  <si>
    <t>7 912 USD</t>
  </si>
  <si>
    <t>8 165 USD</t>
  </si>
  <si>
    <t>Пайл Абдигани</t>
  </si>
  <si>
    <t>7 925 USD</t>
  </si>
  <si>
    <t>Ельчубаев Темирлан</t>
  </si>
  <si>
    <t>2014, 9 курс/леч.</t>
  </si>
  <si>
    <t>2014, 8 курс/леч.</t>
  </si>
  <si>
    <t>3 900 USD</t>
  </si>
  <si>
    <t>2 000 CNY</t>
  </si>
  <si>
    <t>29,71</t>
  </si>
  <si>
    <t>Алимжан Аннур</t>
  </si>
  <si>
    <t>7 988,5 USD</t>
  </si>
  <si>
    <t>Максакова Мария</t>
  </si>
  <si>
    <t>38 000 CNY</t>
  </si>
  <si>
    <t>29,43</t>
  </si>
  <si>
    <t>Федин Илья</t>
  </si>
  <si>
    <t>Дуйсенбек Серикгали</t>
  </si>
  <si>
    <t xml:space="preserve">Абдусаттар Абдулатиф </t>
  </si>
  <si>
    <t>Институт достижения чел.потенциала, Филодельфия</t>
  </si>
  <si>
    <t>5 465 USD</t>
  </si>
  <si>
    <t>Аутоимунногемол.анемия</t>
  </si>
  <si>
    <t>Гадилов Алексей</t>
  </si>
  <si>
    <t>Жаксылыкова Айзере</t>
  </si>
  <si>
    <t>Опухоль(рак) глаз</t>
  </si>
  <si>
    <t>Садыков Алияр</t>
  </si>
  <si>
    <t>7 981 USD</t>
  </si>
  <si>
    <t>Ержанулы Али</t>
  </si>
  <si>
    <t>Жунусова Дана</t>
  </si>
  <si>
    <t>121 700 RUB</t>
  </si>
  <si>
    <t>5,128</t>
  </si>
  <si>
    <t>Саматулы Динмухамед</t>
  </si>
  <si>
    <t>29,46</t>
  </si>
  <si>
    <t>2014, 1 курс/леч.</t>
  </si>
  <si>
    <t>350 997 KZT</t>
  </si>
  <si>
    <t>6 622,09 USD</t>
  </si>
  <si>
    <t>75 060 RUB</t>
  </si>
  <si>
    <t>71 000 RUB</t>
  </si>
  <si>
    <t>20 210 RUB</t>
  </si>
  <si>
    <t>324 300 KZT</t>
  </si>
  <si>
    <t>Лозовой Артем</t>
  </si>
  <si>
    <t>107 600 RUB</t>
  </si>
  <si>
    <t>Скоблова Анна</t>
  </si>
  <si>
    <t>151 900 RUB</t>
  </si>
  <si>
    <t>160 100 RUB</t>
  </si>
  <si>
    <t>Лизунова Дарья</t>
  </si>
  <si>
    <t>237 877,2 RUB</t>
  </si>
  <si>
    <t>ЗАО Институт клинической реабилитологии</t>
  </si>
  <si>
    <t>21 000 RUB</t>
  </si>
  <si>
    <t>Омарова Дарига</t>
  </si>
  <si>
    <r>
      <t xml:space="preserve">ООО 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Салюс"</t>
    </r>
  </si>
  <si>
    <t>Сарсенбай Адия</t>
  </si>
  <si>
    <t>315 291 KZT</t>
  </si>
  <si>
    <t>307 447 KZT</t>
  </si>
  <si>
    <t>Серик Амина</t>
  </si>
  <si>
    <t>182,75</t>
  </si>
  <si>
    <t>Бекишева Айханым</t>
  </si>
  <si>
    <t>182,14</t>
  </si>
  <si>
    <t>29,53</t>
  </si>
  <si>
    <t>Сабитбек Молдир</t>
  </si>
  <si>
    <t xml:space="preserve">Дюсембаев Нурбек </t>
  </si>
  <si>
    <t xml:space="preserve">Дюсембаев Нурым </t>
  </si>
  <si>
    <t>253,18</t>
  </si>
  <si>
    <t>5,204</t>
  </si>
  <si>
    <t>Канат Дамир</t>
  </si>
  <si>
    <t>Сагындыккызы Жанель</t>
  </si>
  <si>
    <t>Зверев Иван</t>
  </si>
  <si>
    <t>182,7</t>
  </si>
  <si>
    <t>5,278</t>
  </si>
  <si>
    <t xml:space="preserve">Зинел Динмухаммед </t>
  </si>
  <si>
    <t>Уламыш Эмир</t>
  </si>
  <si>
    <t>саркома юинга</t>
  </si>
  <si>
    <t>Санкт-Петербург (РФ), ФГБУ СПб НИПНИим.В.М.Бехтерева</t>
  </si>
  <si>
    <t>Сизов Иван</t>
  </si>
  <si>
    <t>врожденный вывих бедра слева.</t>
  </si>
  <si>
    <t>127 700 RUB</t>
  </si>
  <si>
    <t>5,286</t>
  </si>
  <si>
    <t>99 200 RUB</t>
  </si>
  <si>
    <t>Толеубайева Каусар</t>
  </si>
  <si>
    <t>129 350 RUB</t>
  </si>
  <si>
    <t>143 800 RUB</t>
  </si>
  <si>
    <t>Кабимолда Ералы</t>
  </si>
  <si>
    <t>Самет Бакыт</t>
  </si>
  <si>
    <t>252,38</t>
  </si>
  <si>
    <t>Асанова Гаухар</t>
  </si>
  <si>
    <t>УФК по Республике Марий Эл</t>
  </si>
  <si>
    <t>240 000 RUB</t>
  </si>
  <si>
    <t>5,301</t>
  </si>
  <si>
    <t>ПДЖ</t>
  </si>
  <si>
    <t>49 400 RUB</t>
  </si>
  <si>
    <t>182,92</t>
  </si>
  <si>
    <t>5,443</t>
  </si>
  <si>
    <t>7 990 USD</t>
  </si>
  <si>
    <t>185,15</t>
  </si>
  <si>
    <t>Жалел Диас</t>
  </si>
  <si>
    <t>Касенов Биржан</t>
  </si>
  <si>
    <t>254,66</t>
  </si>
  <si>
    <t>АНО Новосибирский МЦ содействия инвалидам</t>
  </si>
  <si>
    <t>4 012 EUR</t>
  </si>
  <si>
    <t>Жолдасов Мерей</t>
  </si>
  <si>
    <t>Киселев Павел</t>
  </si>
  <si>
    <t>Кайыртаев Алижан</t>
  </si>
  <si>
    <t>8 532 USD</t>
  </si>
  <si>
    <t>Абдрахманова Меруерт</t>
  </si>
  <si>
    <t>Нурланулы Нурали</t>
  </si>
  <si>
    <t>4 436,18 USD</t>
  </si>
  <si>
    <t>133 350 RUB</t>
  </si>
  <si>
    <t>Бурдакова Виктория</t>
  </si>
  <si>
    <t>Нейроинфекция</t>
  </si>
  <si>
    <t>УФКпо г.Санкт-Петербургу Отдел15, ФГБУ НИИДИ ФМБА России</t>
  </si>
  <si>
    <t>116 055 RUB</t>
  </si>
  <si>
    <t>184,65</t>
  </si>
  <si>
    <t>Батжан Мансур</t>
  </si>
  <si>
    <t>40 000 CNY</t>
  </si>
  <si>
    <t>183,96</t>
  </si>
  <si>
    <t>7 410 USD</t>
  </si>
  <si>
    <t>184,45</t>
  </si>
  <si>
    <t>184,15</t>
  </si>
  <si>
    <t>Транспозиция магистральных сосудов и единый желудочек</t>
  </si>
  <si>
    <t>УФК по Томской области ФГБУ НИИ кардиологии СО РАМН</t>
  </si>
  <si>
    <t>183,5</t>
  </si>
  <si>
    <t>5,343</t>
  </si>
  <si>
    <t>Транспозиция магистральных сосудов из правого желудочка</t>
  </si>
  <si>
    <t>298 000 RUB</t>
  </si>
  <si>
    <t>121 350 RUB</t>
  </si>
  <si>
    <t>131 400 RUB</t>
  </si>
  <si>
    <t>Сумма в тенге</t>
  </si>
  <si>
    <t>2014, доплата за 1 операцию</t>
  </si>
  <si>
    <t>183,51</t>
  </si>
  <si>
    <t>5,282</t>
  </si>
  <si>
    <t>2014, доплата за 3 операцию</t>
  </si>
  <si>
    <t>2014,доплата</t>
  </si>
  <si>
    <t>Горвард Владислав</t>
  </si>
  <si>
    <t>клиника св. Владимира</t>
  </si>
  <si>
    <t>91 200 RUB</t>
  </si>
  <si>
    <t>5,289</t>
  </si>
  <si>
    <t>24 000 RUB</t>
  </si>
  <si>
    <t>Тлеумбет Айгерим</t>
  </si>
  <si>
    <t>3 751 EUR</t>
  </si>
  <si>
    <t>252,27</t>
  </si>
  <si>
    <t>Ашимова Интизар</t>
  </si>
  <si>
    <t>29,66</t>
  </si>
  <si>
    <t>Турукпаев Бекжан</t>
  </si>
  <si>
    <t>Узакбаева Гульмира</t>
  </si>
  <si>
    <t>184,25</t>
  </si>
  <si>
    <t>Камысбай Жайнар</t>
  </si>
  <si>
    <t>Спинно-мозговая грыжа, нарушение функций тазовых органов</t>
  </si>
  <si>
    <t>Серик Махаббат</t>
  </si>
  <si>
    <t>237 850 RUB</t>
  </si>
  <si>
    <t>5,385</t>
  </si>
  <si>
    <t>6 734 USD</t>
  </si>
  <si>
    <t>5,346</t>
  </si>
  <si>
    <t>6 000 EUR</t>
  </si>
  <si>
    <t>252,31</t>
  </si>
  <si>
    <t>Лисогор Екатерина</t>
  </si>
  <si>
    <t>4 539,06 EUR</t>
  </si>
  <si>
    <t>85 000 RUB</t>
  </si>
  <si>
    <t>5,315</t>
  </si>
  <si>
    <t>Голыженков  Ярослав</t>
  </si>
  <si>
    <t>Берикбай Мерей</t>
  </si>
  <si>
    <t>симптомическая эпилепсия</t>
  </si>
  <si>
    <t>5,377</t>
  </si>
  <si>
    <t>Ставская Вероника</t>
  </si>
  <si>
    <t>150 700 RUB</t>
  </si>
  <si>
    <t>Молдахметова Мадина</t>
  </si>
  <si>
    <t>3 834,00 EUR</t>
  </si>
  <si>
    <t>253,51</t>
  </si>
  <si>
    <t>1 489,83 EUR</t>
  </si>
  <si>
    <t>253,2</t>
  </si>
  <si>
    <t>4 443,61 EUR</t>
  </si>
  <si>
    <t>253,23</t>
  </si>
  <si>
    <t>253,05</t>
  </si>
  <si>
    <t>Реабилитационный центр "АДЕЛИ", Словакия</t>
  </si>
  <si>
    <t>ООО "Академия здоровья", Московская обл.,г.Электросталь</t>
  </si>
  <si>
    <t>75 310 RUB</t>
  </si>
  <si>
    <t>183,49</t>
  </si>
  <si>
    <t>5,498</t>
  </si>
  <si>
    <t>1 800 USD</t>
  </si>
  <si>
    <t>56 868 RUB</t>
  </si>
  <si>
    <t>Мамай Мерей</t>
  </si>
  <si>
    <t>184,35</t>
  </si>
  <si>
    <t>Ахмеров Амирхан</t>
  </si>
  <si>
    <t xml:space="preserve">Проценко Карина </t>
  </si>
  <si>
    <t>фиброзная диспанзия право-бедренной кости</t>
  </si>
  <si>
    <t>1 620 USD</t>
  </si>
  <si>
    <t>184,4</t>
  </si>
  <si>
    <t xml:space="preserve">спонсор - Единая семья </t>
  </si>
  <si>
    <t>Михайлова Виктория</t>
  </si>
  <si>
    <t>4 971,28 EUR</t>
  </si>
  <si>
    <t>183,52</t>
  </si>
  <si>
    <t>253,62</t>
  </si>
  <si>
    <t>Кужба Рафаэль</t>
  </si>
  <si>
    <t>злокачественная опухоль</t>
  </si>
  <si>
    <t>Емиржан Гани</t>
  </si>
  <si>
    <t>Тулендиева Камилла</t>
  </si>
  <si>
    <t>2014, 2 курс/лечения</t>
  </si>
  <si>
    <t>2014, 3 курс/лечения</t>
  </si>
  <si>
    <t>49 850 RUB</t>
  </si>
  <si>
    <t>5,421</t>
  </si>
  <si>
    <t>38 360 RUB</t>
  </si>
  <si>
    <t>84 495 RUB</t>
  </si>
  <si>
    <t>3 256,75 USD</t>
  </si>
  <si>
    <t>3 153,48 EUR</t>
  </si>
  <si>
    <t>252,7</t>
  </si>
  <si>
    <t>341,58  USD</t>
  </si>
  <si>
    <t>Ескельды Ерасыл</t>
  </si>
  <si>
    <t>201 400 RUB</t>
  </si>
  <si>
    <t>5,358</t>
  </si>
  <si>
    <t>76 800 RUB</t>
  </si>
  <si>
    <t>47 590 RUB</t>
  </si>
  <si>
    <t>5,281</t>
  </si>
  <si>
    <t>8 000 USD</t>
  </si>
  <si>
    <t>184,8</t>
  </si>
  <si>
    <t>Новосибирск, НИИ паталогии кровообращения им.Е.Н.Мешалкина</t>
  </si>
  <si>
    <t>183,53</t>
  </si>
  <si>
    <t>5,297</t>
  </si>
  <si>
    <t>Турсунбай Алуа</t>
  </si>
  <si>
    <t>NEWO-MED</t>
  </si>
  <si>
    <t>250,49</t>
  </si>
  <si>
    <t>Спонсор</t>
  </si>
  <si>
    <t>2014, химиятерапия</t>
  </si>
  <si>
    <t>Остеосаркома левой бедренной кости</t>
  </si>
  <si>
    <t>3 000 EUR</t>
  </si>
  <si>
    <t>Бейсенов Ислам</t>
  </si>
  <si>
    <t>Сарсембаев Рамиль</t>
  </si>
  <si>
    <t>Абай Жансая</t>
  </si>
  <si>
    <t>Кыдыров Ильяс</t>
  </si>
  <si>
    <t>2 360 EUR</t>
  </si>
  <si>
    <t>Зозуля Дарья</t>
  </si>
  <si>
    <t>Саду Ертуган</t>
  </si>
  <si>
    <t>АО Республиканский дет.реаб.центр</t>
  </si>
  <si>
    <t>Искендирова Акбота</t>
  </si>
  <si>
    <t>7 986 USD</t>
  </si>
  <si>
    <t>Бекхалиев Динмухаммед</t>
  </si>
  <si>
    <t>Хасенов Алдияр</t>
  </si>
  <si>
    <t>Врожденная аномалия развития левой кисти</t>
  </si>
  <si>
    <t>ФГБУ им.Г.И.Турнера, Минздрава России</t>
  </si>
  <si>
    <t>5,274</t>
  </si>
  <si>
    <t>Берикболова Дарина</t>
  </si>
  <si>
    <t>3 712 ЕUR</t>
  </si>
  <si>
    <t>250,12</t>
  </si>
  <si>
    <t>Сабит Динмухамед</t>
  </si>
  <si>
    <t>Ильяс Камилла</t>
  </si>
  <si>
    <t>ООО МЦ Сакура</t>
  </si>
  <si>
    <t>125 700 RUB</t>
  </si>
  <si>
    <t>Кулбасынов Ержан</t>
  </si>
  <si>
    <t>Реабилитационный центр Романова</t>
  </si>
  <si>
    <t>239 500 RUB</t>
  </si>
  <si>
    <t>Евнеев Умар</t>
  </si>
  <si>
    <t>251 400 RUB</t>
  </si>
  <si>
    <t>239 900 RUB</t>
  </si>
  <si>
    <t>Ипатов Егор</t>
  </si>
  <si>
    <t>ООО Кия</t>
  </si>
  <si>
    <t>ООО Салюс</t>
  </si>
  <si>
    <t>207 910 RUB</t>
  </si>
  <si>
    <t>5,229</t>
  </si>
  <si>
    <t>Ниязов Рамиль</t>
  </si>
  <si>
    <t>постожоговый стеноз верхней трети пищевода</t>
  </si>
  <si>
    <t>Григорьев Дмитрий</t>
  </si>
  <si>
    <t>5,199</t>
  </si>
  <si>
    <t>Каирбекова Инабат</t>
  </si>
  <si>
    <t>Бексултан Айша</t>
  </si>
  <si>
    <t xml:space="preserve"> 609,13 ЕUR</t>
  </si>
  <si>
    <t>249,57</t>
  </si>
  <si>
    <t>7 020 USD</t>
  </si>
  <si>
    <t>183,95</t>
  </si>
  <si>
    <t>Сарсенбай Айдос</t>
  </si>
  <si>
    <t>30,04</t>
  </si>
  <si>
    <t>Исмаилова Жанель</t>
  </si>
  <si>
    <t>2014, 2курс/леч.</t>
  </si>
  <si>
    <t>Мухамеджанов Руслан</t>
  </si>
  <si>
    <t>Калымжанова Аяна</t>
  </si>
  <si>
    <t>183,28</t>
  </si>
  <si>
    <t>30,07</t>
  </si>
  <si>
    <t>2014, доплата за лечение</t>
  </si>
  <si>
    <t>Парфенова Анастасия</t>
  </si>
  <si>
    <t>артрогрипоз верхних конечностей</t>
  </si>
  <si>
    <t>5,154</t>
  </si>
  <si>
    <t>182,85</t>
  </si>
  <si>
    <t>5 800 USD</t>
  </si>
  <si>
    <t>Байбосынова Каусарайым</t>
  </si>
  <si>
    <t>Кунакбай Райхан</t>
  </si>
  <si>
    <t>182,00</t>
  </si>
  <si>
    <t>Кенес Аружан</t>
  </si>
  <si>
    <t>354 706 KZT</t>
  </si>
  <si>
    <t>Есбулатов Саги</t>
  </si>
  <si>
    <t>Сметанникова Арина</t>
  </si>
  <si>
    <t>Бекпатшаев Диас</t>
  </si>
  <si>
    <t>Муратхан Маржан</t>
  </si>
  <si>
    <t>Саген Амина</t>
  </si>
  <si>
    <t>Демидов Тихон</t>
  </si>
  <si>
    <t>5,098</t>
  </si>
  <si>
    <t>235 600 RUB</t>
  </si>
  <si>
    <t>254 700 RUB</t>
  </si>
  <si>
    <t>2014, 3курс/леч.</t>
  </si>
  <si>
    <t>Рысалдинов Батырхан</t>
  </si>
  <si>
    <t>Джумабекова Адина</t>
  </si>
  <si>
    <t>Высший Институт Двигательной Терапии им.А.Пете (Венгрия)</t>
  </si>
  <si>
    <t xml:space="preserve"> 2 595 ЕUR</t>
  </si>
  <si>
    <t>246,74</t>
  </si>
  <si>
    <t>Сраилова Эльвита</t>
  </si>
  <si>
    <t>29,9</t>
  </si>
  <si>
    <t>Кудрявцев Владимир</t>
  </si>
  <si>
    <t>Абдильдина Томирис</t>
  </si>
  <si>
    <t>Абди Инабат</t>
  </si>
  <si>
    <t>Куанышбаев Дамхаир</t>
  </si>
  <si>
    <t>5,105</t>
  </si>
  <si>
    <t>Мирамбекулы Мухамедканафия</t>
  </si>
  <si>
    <t>111 450 RUB</t>
  </si>
  <si>
    <t>Джумабаева Жазира</t>
  </si>
  <si>
    <t>223 700 RUB</t>
  </si>
  <si>
    <t>Саржан Токжан</t>
  </si>
  <si>
    <t>243 500 RUB</t>
  </si>
  <si>
    <t>Серикова Камила</t>
  </si>
  <si>
    <t>221 700 RUB</t>
  </si>
  <si>
    <t>Шайдурова Виктория</t>
  </si>
  <si>
    <t>148 300 RUB</t>
  </si>
  <si>
    <t>139 400 RUB</t>
  </si>
  <si>
    <t>134 600 RUB</t>
  </si>
  <si>
    <t>Силькунов Роман</t>
  </si>
  <si>
    <t>7 978 USD</t>
  </si>
  <si>
    <t>7 988 USD</t>
  </si>
  <si>
    <t>Яковлев Данил</t>
  </si>
  <si>
    <t>7 965 USD</t>
  </si>
  <si>
    <t>Аяганова Динара</t>
  </si>
  <si>
    <t>Таипов Фархат</t>
  </si>
  <si>
    <t>Юн Елизавета</t>
  </si>
  <si>
    <t xml:space="preserve"> 3 894 ЕUR</t>
  </si>
  <si>
    <t>247,11</t>
  </si>
  <si>
    <t>Тогайбекова Аружан</t>
  </si>
  <si>
    <t>Курманкул Динмуханбет</t>
  </si>
  <si>
    <t>245 800 RUB</t>
  </si>
  <si>
    <t>Денисов Дмитрий</t>
  </si>
  <si>
    <t>251 700 RUB</t>
  </si>
  <si>
    <t>Сагындык Айша</t>
  </si>
  <si>
    <t>236 800 RUB</t>
  </si>
  <si>
    <t>Черанев Максим</t>
  </si>
  <si>
    <t>218 800 RUB</t>
  </si>
  <si>
    <t>Обухов Ярослав</t>
  </si>
  <si>
    <t>137 100 RUB</t>
  </si>
  <si>
    <t>Сарсамбекулы Кайржан</t>
  </si>
  <si>
    <t>7 996 USD</t>
  </si>
  <si>
    <t>Рогова Дарья</t>
  </si>
  <si>
    <t>Ержан Айша</t>
  </si>
  <si>
    <t>Сабиханова Жанна</t>
  </si>
  <si>
    <t>7 875 USD</t>
  </si>
  <si>
    <t>Ержанова Райхан</t>
  </si>
  <si>
    <t>7 949 USD</t>
  </si>
  <si>
    <t>Султанмурат Нуртас</t>
  </si>
  <si>
    <t>Курмангали Азиз</t>
  </si>
  <si>
    <t>7 975 USD</t>
  </si>
  <si>
    <t>3 994 USD</t>
  </si>
  <si>
    <t>Месиков Юрий</t>
  </si>
  <si>
    <t>246,56</t>
  </si>
  <si>
    <t>5,134</t>
  </si>
  <si>
    <t>Иминов Азим</t>
  </si>
  <si>
    <t>29,95</t>
  </si>
  <si>
    <t>29,93</t>
  </si>
  <si>
    <t>Смаилов Аргын</t>
  </si>
  <si>
    <t>246,47</t>
  </si>
  <si>
    <t>Абжанов Анвар</t>
  </si>
  <si>
    <t xml:space="preserve"> 4 563 ЕUR</t>
  </si>
  <si>
    <t>1 330 USD</t>
  </si>
  <si>
    <t>Черкасов Ростислав</t>
  </si>
  <si>
    <t>Дисплазия тазобедренных суставов</t>
  </si>
  <si>
    <t>5,077</t>
  </si>
  <si>
    <t xml:space="preserve"> 850 RUB</t>
  </si>
  <si>
    <t xml:space="preserve"> 91 000 RUB</t>
  </si>
  <si>
    <t>УФК, г.Москве ФГБУ НИИ НХ РАМН</t>
  </si>
  <si>
    <t>Григорьева Вероника</t>
  </si>
  <si>
    <t>УФК по Ленинградской обл. ЛОГБУЗ</t>
  </si>
  <si>
    <t xml:space="preserve"> 85 862,66 RUB</t>
  </si>
  <si>
    <t>ГБУЗ ДГКБ св.Владимира ДЗМ</t>
  </si>
  <si>
    <t xml:space="preserve"> 105 600 RUB</t>
  </si>
  <si>
    <t xml:space="preserve"> 1 042,48 ЕUR</t>
  </si>
  <si>
    <t>243,54</t>
  </si>
  <si>
    <t>Базаров Александр</t>
  </si>
  <si>
    <t>АНО клиника травматологии,ортопедии и нейрохирургии НИИТО</t>
  </si>
  <si>
    <t>4,94</t>
  </si>
  <si>
    <t>Савеня Мария</t>
  </si>
  <si>
    <t>Адайбай Диляра</t>
  </si>
  <si>
    <t xml:space="preserve"> 234 800 RUB</t>
  </si>
  <si>
    <t>4,948</t>
  </si>
  <si>
    <t xml:space="preserve"> 30 000,00 RUB</t>
  </si>
  <si>
    <t>Рахымжанова Айгерим</t>
  </si>
  <si>
    <t>гемангиома, тотальной бедренной</t>
  </si>
  <si>
    <t xml:space="preserve"> 53 170 RUB</t>
  </si>
  <si>
    <t>181,95</t>
  </si>
  <si>
    <t>4,813</t>
  </si>
  <si>
    <t>Потапов Дмитрий</t>
  </si>
  <si>
    <t>кистозное образование</t>
  </si>
  <si>
    <t>2014, 1опер.доплата</t>
  </si>
  <si>
    <t>Галиев Алимжан</t>
  </si>
  <si>
    <t>МТС поражение лимфоузлов</t>
  </si>
  <si>
    <t xml:space="preserve"> 83 050 RUB</t>
  </si>
  <si>
    <t>4,794</t>
  </si>
  <si>
    <t>5 500 USD</t>
  </si>
  <si>
    <t>Жунисова Гульфайруз</t>
  </si>
  <si>
    <t>хронический остеомиелит правой большеберцовой кости, свищевая форма</t>
  </si>
  <si>
    <t xml:space="preserve"> 134 400 RUB</t>
  </si>
  <si>
    <t>181,9</t>
  </si>
  <si>
    <t>4,721</t>
  </si>
  <si>
    <t>182,8</t>
  </si>
  <si>
    <t>Жангазиев Акмаль</t>
  </si>
  <si>
    <t>врожденная патология в мочеполовой системе</t>
  </si>
  <si>
    <t xml:space="preserve"> 28 228,58 RUB</t>
  </si>
  <si>
    <t xml:space="preserve"> 59 240 RUB</t>
  </si>
  <si>
    <t>Резников Иван</t>
  </si>
  <si>
    <t>тотальная эписпадия</t>
  </si>
  <si>
    <t>URBA Saglik Tes San Tic A.S.</t>
  </si>
  <si>
    <t>2013, 3-я операция</t>
  </si>
  <si>
    <t xml:space="preserve"> 92 000 RUB</t>
  </si>
  <si>
    <t>181,8</t>
  </si>
  <si>
    <t>Бисембайулы Адилхан</t>
  </si>
  <si>
    <t>несовер.остеогенез</t>
  </si>
  <si>
    <t>4,576</t>
  </si>
  <si>
    <t>Сагинтаев Тимур</t>
  </si>
  <si>
    <t>врожденный ихтиоз</t>
  </si>
  <si>
    <t>Смирнов Максим</t>
  </si>
  <si>
    <t>ООО Реацентр Астрахань</t>
  </si>
  <si>
    <t xml:space="preserve"> 60 250 RUB</t>
  </si>
  <si>
    <t>Санин Александр</t>
  </si>
  <si>
    <t xml:space="preserve"> 180 000 RUB</t>
  </si>
  <si>
    <t>Дюсенова Айгерим</t>
  </si>
  <si>
    <t>8 800 USD</t>
  </si>
  <si>
    <t>Рсалов Ерболат</t>
  </si>
  <si>
    <t>Муратбекулы Куаныш</t>
  </si>
  <si>
    <t xml:space="preserve"> 40 000 RUB</t>
  </si>
  <si>
    <t>3 642,08 USD</t>
  </si>
  <si>
    <t>182,35</t>
  </si>
  <si>
    <t>Бейбит Нуртилеу</t>
  </si>
  <si>
    <t xml:space="preserve"> 161 500 RUB</t>
  </si>
  <si>
    <t>4,512</t>
  </si>
  <si>
    <t>Садбеков Ануар</t>
  </si>
  <si>
    <t xml:space="preserve"> 137 600 RUB</t>
  </si>
  <si>
    <t>Тиль Валерия</t>
  </si>
  <si>
    <t xml:space="preserve"> 62 400 RUB</t>
  </si>
  <si>
    <t>Зеленая Раиса</t>
  </si>
  <si>
    <t xml:space="preserve"> 164 600 RUB</t>
  </si>
  <si>
    <t>Кужахметов Эрик</t>
  </si>
  <si>
    <t xml:space="preserve"> 193 500 RUB</t>
  </si>
  <si>
    <t>181,52</t>
  </si>
  <si>
    <t>4,549</t>
  </si>
  <si>
    <t>Осипенко Ярослав</t>
  </si>
  <si>
    <t xml:space="preserve"> 226 100 RUB</t>
  </si>
  <si>
    <t>Попков Анатолий</t>
  </si>
  <si>
    <t>Хорошунова Алина</t>
  </si>
  <si>
    <t>ЗАО Самарский Терапевтический Комплекс Реацентр</t>
  </si>
  <si>
    <t xml:space="preserve"> 44 250 RUB</t>
  </si>
  <si>
    <t>Дюсенова Аина</t>
  </si>
  <si>
    <t>182,5</t>
  </si>
  <si>
    <t>Пронькин Александр</t>
  </si>
  <si>
    <t xml:space="preserve"> 3 953 ЕUR</t>
  </si>
  <si>
    <t>236,23</t>
  </si>
  <si>
    <t>Кенес Айару</t>
  </si>
  <si>
    <t xml:space="preserve"> 65 050 RUB</t>
  </si>
  <si>
    <t>Шамшидин Омирзак</t>
  </si>
  <si>
    <t>Жаксылык Абдырахман</t>
  </si>
  <si>
    <t xml:space="preserve"> 233 300 RUB</t>
  </si>
  <si>
    <t>181,5</t>
  </si>
  <si>
    <t>4,515</t>
  </si>
  <si>
    <t>ООО ПрогнозМед</t>
  </si>
  <si>
    <t xml:space="preserve"> 46 275 RUB</t>
  </si>
  <si>
    <t>Болысбек Амантай</t>
  </si>
  <si>
    <t xml:space="preserve"> 237 800 RUB</t>
  </si>
  <si>
    <t xml:space="preserve"> 242 800 RUB</t>
  </si>
  <si>
    <t>4,497</t>
  </si>
  <si>
    <t xml:space="preserve"> 3 712 ЕUR</t>
  </si>
  <si>
    <t>234,89</t>
  </si>
  <si>
    <t>182,45</t>
  </si>
  <si>
    <t>Омиржан Зере</t>
  </si>
  <si>
    <t>Оралбек Арайлым</t>
  </si>
  <si>
    <t>Бейбит Мадина</t>
  </si>
  <si>
    <t>607 USD</t>
  </si>
  <si>
    <t>1 082 USD</t>
  </si>
  <si>
    <t>Фенглер Данил</t>
  </si>
  <si>
    <t>Бекиш Тасболат</t>
  </si>
  <si>
    <t>7 938 USD</t>
  </si>
  <si>
    <t>7 979 USD</t>
  </si>
  <si>
    <t>Мурзагалиев Арнур</t>
  </si>
  <si>
    <t>2 445 USD</t>
  </si>
  <si>
    <t>7 994 USD</t>
  </si>
  <si>
    <t>4,212</t>
  </si>
  <si>
    <t>180,87</t>
  </si>
  <si>
    <t>2014,2 операция</t>
  </si>
  <si>
    <t>ГКП на ПХВ Городская дет.больница №2, г.Астана</t>
  </si>
  <si>
    <t>691 000 KZT</t>
  </si>
  <si>
    <t xml:space="preserve"> 11 260 RUB</t>
  </si>
  <si>
    <t>4,21</t>
  </si>
  <si>
    <t>Серикжан Арнур</t>
  </si>
  <si>
    <t>29,94</t>
  </si>
  <si>
    <t xml:space="preserve"> 94 115,66 RUB</t>
  </si>
  <si>
    <t>4,129</t>
  </si>
  <si>
    <t xml:space="preserve"> 21 000 RUB</t>
  </si>
  <si>
    <t>4,087</t>
  </si>
  <si>
    <t>Кайратулы Ильяс</t>
  </si>
  <si>
    <t xml:space="preserve"> 120 000 RUB</t>
  </si>
  <si>
    <t xml:space="preserve"> 207 910 RUB</t>
  </si>
  <si>
    <t>3,984</t>
  </si>
  <si>
    <t>вальгус стоп тяжелой степени</t>
  </si>
  <si>
    <t>Мейрам Райымбек</t>
  </si>
  <si>
    <t>состояние после эндоваскулярной склеротерапии кавернозной гемангиомы.</t>
  </si>
  <si>
    <t>181,75</t>
  </si>
  <si>
    <t>Буртаева Аида</t>
  </si>
  <si>
    <t>ВПС</t>
  </si>
  <si>
    <t xml:space="preserve"> 3 378 ЕUR</t>
  </si>
  <si>
    <t>229,46</t>
  </si>
  <si>
    <t xml:space="preserve"> 3 378,29 ЕUR</t>
  </si>
  <si>
    <t>226,38</t>
  </si>
  <si>
    <t>Бакытжан Камила</t>
  </si>
  <si>
    <t>Жанабекова Ильнара</t>
  </si>
  <si>
    <t>4,072</t>
  </si>
  <si>
    <t>Жанатбек Аиша</t>
  </si>
  <si>
    <t>врожденные дефекты пальцев рук и ног</t>
  </si>
  <si>
    <t>181,09</t>
  </si>
  <si>
    <t xml:space="preserve"> 2 857 ЕUR</t>
  </si>
  <si>
    <t xml:space="preserve"> 2 857,64 ЕUR</t>
  </si>
  <si>
    <t>181,4</t>
  </si>
  <si>
    <t>187,51</t>
  </si>
  <si>
    <t>Маrienhauskliniken im Landkreis Neunkichen GmbH,(Германия)</t>
  </si>
  <si>
    <t>Жумабекова Адина</t>
  </si>
  <si>
    <t>181,7</t>
  </si>
  <si>
    <t>Асылбаева Саида</t>
  </si>
  <si>
    <t>паталогический перелом</t>
  </si>
  <si>
    <t>3,236</t>
  </si>
  <si>
    <t xml:space="preserve"> 25 041 RUB</t>
  </si>
  <si>
    <t>Вааль Герман</t>
  </si>
  <si>
    <t>Centrum intensywnej Terapii OLINEK</t>
  </si>
  <si>
    <t>182,27</t>
  </si>
  <si>
    <t>227,7</t>
  </si>
  <si>
    <t>Коржов Серафим</t>
  </si>
  <si>
    <t>Asklepios Klinik GmbH</t>
  </si>
  <si>
    <t xml:space="preserve"> 7 000 ЕUR</t>
  </si>
  <si>
    <t>Махмутали Нурбакыт</t>
  </si>
  <si>
    <t>Салабат Нурдаулет</t>
  </si>
  <si>
    <t xml:space="preserve"> 70 000 RUB</t>
  </si>
  <si>
    <t>7 992 USD</t>
  </si>
  <si>
    <t>183,45</t>
  </si>
  <si>
    <t>7 984 USD</t>
  </si>
  <si>
    <t>Мелис Алиаскар</t>
  </si>
  <si>
    <t>Боцман Александр</t>
  </si>
  <si>
    <t>7 987 USD</t>
  </si>
  <si>
    <t>7 998 USD</t>
  </si>
  <si>
    <t>Магаматшарип Мухлиса</t>
  </si>
  <si>
    <t>3,274</t>
  </si>
  <si>
    <t>Кенжегалиев Аманбек</t>
  </si>
  <si>
    <t xml:space="preserve"> 166 750 RUB</t>
  </si>
  <si>
    <t xml:space="preserve"> 125 000 RUB</t>
  </si>
  <si>
    <t>Омирбай Нуркасым</t>
  </si>
  <si>
    <t>347 880 KZT</t>
  </si>
  <si>
    <t>352 208 KZT</t>
  </si>
  <si>
    <t>350 854 KZT</t>
  </si>
  <si>
    <t>Омирбай Нургиса</t>
  </si>
  <si>
    <t>351 387 KZT</t>
  </si>
  <si>
    <t>о перечисленных средствах за лечение детей на 31.12.2014</t>
  </si>
  <si>
    <t>Оплачено за счёт смс пожертвований абонентов Кселл</t>
  </si>
  <si>
    <t>Партнёры (фонды и компании), 2007- 2010</t>
  </si>
  <si>
    <t>"Российский фонд Помощи", 2009-2010</t>
  </si>
  <si>
    <t>Частные спонсоры, 2007-2012</t>
  </si>
  <si>
    <t>Всего со счёта ОФ "ДОМ" 2007 - 2014</t>
  </si>
  <si>
    <t>Beijing shouer liqiao childrens hospital CO LTD</t>
  </si>
  <si>
    <t>2 300 USD</t>
  </si>
  <si>
    <t>1 200 USD</t>
  </si>
  <si>
    <t>5 300 USD</t>
  </si>
  <si>
    <t>Амиржан Гани</t>
  </si>
  <si>
    <t>Government institution The scien-pract childrens cardiac center</t>
  </si>
  <si>
    <t xml:space="preserve">Операции/курсы лечения </t>
  </si>
  <si>
    <t>Стоимость операции, валюта (по Акту выполненных работ)</t>
  </si>
  <si>
    <t xml:space="preserve"> 145 100 RUB</t>
  </si>
  <si>
    <t xml:space="preserve"> 70 850 RUB</t>
  </si>
  <si>
    <t>30 183 CNY</t>
  </si>
  <si>
    <t xml:space="preserve"> 2 012 ЕUR</t>
  </si>
  <si>
    <t>5 150,5 USD</t>
  </si>
  <si>
    <t>3 697 USD</t>
  </si>
  <si>
    <t>4 780 USD</t>
  </si>
  <si>
    <t>8 789 USD</t>
  </si>
  <si>
    <t xml:space="preserve"> 5 801,4 USD</t>
  </si>
  <si>
    <t>4 920 USD</t>
  </si>
  <si>
    <t>7 593 USD</t>
  </si>
  <si>
    <t>7 443 USD</t>
  </si>
  <si>
    <t>8 038,8 USD</t>
  </si>
  <si>
    <t xml:space="preserve"> 8 806,20 USD</t>
  </si>
  <si>
    <t>5 466,30 USD</t>
  </si>
  <si>
    <t>585,80 USD</t>
  </si>
  <si>
    <t>4 078,40 USD</t>
  </si>
  <si>
    <t>5 871 USD</t>
  </si>
  <si>
    <t>4 190,10 USD</t>
  </si>
  <si>
    <t>5 540 USD</t>
  </si>
  <si>
    <t>7 376 USD</t>
  </si>
  <si>
    <t>8 980,95 USD</t>
  </si>
  <si>
    <t>4 015,60 USD</t>
  </si>
  <si>
    <t>5 686,42 USD</t>
  </si>
  <si>
    <t>3 464 USD</t>
  </si>
  <si>
    <t>3 977 USD</t>
  </si>
  <si>
    <t>7 638 USD</t>
  </si>
  <si>
    <t>11 254 USD</t>
  </si>
  <si>
    <t>1 810 USD</t>
  </si>
  <si>
    <t>18 260,56 USD</t>
  </si>
  <si>
    <t>8 759,18 USD</t>
  </si>
  <si>
    <t>7 696,41 USD</t>
  </si>
  <si>
    <t>4 350,25 USD</t>
  </si>
  <si>
    <t>2 633 USD</t>
  </si>
  <si>
    <t xml:space="preserve"> 7 680 USD</t>
  </si>
  <si>
    <t>1 933 USD</t>
  </si>
  <si>
    <t>4 986 USD</t>
  </si>
  <si>
    <t>2 960,25 EUR</t>
  </si>
  <si>
    <t>6 803,12 USD</t>
  </si>
  <si>
    <t>1001,60 USD</t>
  </si>
  <si>
    <t>8 342,20 USD</t>
  </si>
  <si>
    <t>6 892,52 USD</t>
  </si>
  <si>
    <t>288 724 KZT</t>
  </si>
  <si>
    <t>307 062 KZT</t>
  </si>
  <si>
    <t>349 669 KZT</t>
  </si>
  <si>
    <t>335 565 KZT</t>
  </si>
  <si>
    <t>355 198 KZT</t>
  </si>
  <si>
    <t>348 777 KZT</t>
  </si>
  <si>
    <t>349 624 KZT</t>
  </si>
  <si>
    <t>349 914 KZT</t>
  </si>
  <si>
    <t>349 774 KZT</t>
  </si>
  <si>
    <t>8 850 USD</t>
  </si>
  <si>
    <t>119 150 RUB</t>
  </si>
  <si>
    <t>131 000 RUB</t>
  </si>
  <si>
    <t>155 850 RUB</t>
  </si>
  <si>
    <t>140 150 RUB</t>
  </si>
  <si>
    <t>58 735 RUB</t>
  </si>
  <si>
    <t xml:space="preserve"> 56 350 RUB</t>
  </si>
  <si>
    <t>70 400 RUB</t>
  </si>
  <si>
    <t>32 200 RUB</t>
  </si>
  <si>
    <t>41 200 RUB</t>
  </si>
  <si>
    <t>33 700 RUB</t>
  </si>
  <si>
    <t>19 250 RUB</t>
  </si>
  <si>
    <t>468 137 KZT</t>
  </si>
  <si>
    <t>247 500 KZT</t>
  </si>
  <si>
    <t>Нургазина Даяна</t>
  </si>
  <si>
    <t>3 894 USD</t>
  </si>
  <si>
    <t>Кабидола Айсара</t>
  </si>
  <si>
    <t>3 480 EUR</t>
  </si>
  <si>
    <t>Абдижаппаров Мурат</t>
  </si>
  <si>
    <t>248,27</t>
  </si>
  <si>
    <t>Баимбетова Дамира</t>
  </si>
  <si>
    <t>Жукенов Диас</t>
  </si>
  <si>
    <t>3 125 EUR</t>
  </si>
  <si>
    <t>Молдабаева Дарина</t>
  </si>
  <si>
    <t>15 961 CNY</t>
  </si>
  <si>
    <t>38 663 CNY</t>
  </si>
  <si>
    <t>23 337 CNY</t>
  </si>
  <si>
    <t>31 443 CNY</t>
  </si>
  <si>
    <t>33 615 CNY</t>
  </si>
  <si>
    <t>31 816 CNY</t>
  </si>
  <si>
    <t>31 494 CNY</t>
  </si>
  <si>
    <t>26 558 CNY</t>
  </si>
  <si>
    <t>2 557 EUR</t>
  </si>
  <si>
    <t>37 100 RUB</t>
  </si>
  <si>
    <t>64 720 RUB</t>
  </si>
  <si>
    <t>85 800 RUB</t>
  </si>
  <si>
    <t>1 183,73 USD</t>
  </si>
  <si>
    <t>133 500 RUB</t>
  </si>
  <si>
    <t>20 450 RUB</t>
  </si>
  <si>
    <t>27 350 RUB</t>
  </si>
  <si>
    <t>19 730 RUB</t>
  </si>
  <si>
    <t>57 949 RUB</t>
  </si>
  <si>
    <t>51 200 RUB</t>
  </si>
  <si>
    <t>171 033 RUB</t>
  </si>
  <si>
    <t>44 546 RUB</t>
  </si>
  <si>
    <t>31 630 RUB</t>
  </si>
  <si>
    <t>42 010 RUB</t>
  </si>
  <si>
    <t>256 850 RUB</t>
  </si>
  <si>
    <t>100 850 RUB</t>
  </si>
  <si>
    <t xml:space="preserve"> 84 247 RUB</t>
  </si>
  <si>
    <t xml:space="preserve"> 178 142 RUB</t>
  </si>
  <si>
    <t xml:space="preserve"> 288 074 RUB</t>
  </si>
  <si>
    <t>74 760 RUB</t>
  </si>
  <si>
    <t>215 740 RUB</t>
  </si>
  <si>
    <t>353 190 RUB</t>
  </si>
  <si>
    <t>196 640 RUB</t>
  </si>
  <si>
    <t xml:space="preserve"> 141 364 RUB</t>
  </si>
  <si>
    <t xml:space="preserve"> 18 510 RUB</t>
  </si>
  <si>
    <t xml:space="preserve"> 84 324,50 RUB</t>
  </si>
  <si>
    <t>82 320 RUB</t>
  </si>
  <si>
    <t>60 780 RUB</t>
  </si>
  <si>
    <t>256 100 RUB</t>
  </si>
  <si>
    <t>243 300 RUB</t>
  </si>
  <si>
    <t>102 950 RUB</t>
  </si>
  <si>
    <t xml:space="preserve"> 4 600 USD</t>
  </si>
  <si>
    <t>187 085 RUB</t>
  </si>
  <si>
    <t>293 200 RUB</t>
  </si>
  <si>
    <t>2 647 EUR</t>
  </si>
  <si>
    <t>4 998 USD</t>
  </si>
  <si>
    <t xml:space="preserve"> 30 570,75 USD</t>
  </si>
  <si>
    <t xml:space="preserve">ВПС </t>
  </si>
  <si>
    <t>Ануарбекова Сабира</t>
  </si>
  <si>
    <t>Николаенко Анастасия</t>
  </si>
  <si>
    <t>192 470 RUB</t>
  </si>
  <si>
    <t>Айдынулы Айбек</t>
  </si>
  <si>
    <t>ВПС,атрезия легочной артерии 4 типа,СН ФК4.</t>
  </si>
  <si>
    <t xml:space="preserve"> 9 153,48 ЕUR</t>
  </si>
  <si>
    <t>251,06</t>
  </si>
  <si>
    <t>5 790 USD</t>
  </si>
  <si>
    <t>182</t>
  </si>
  <si>
    <t>Бесплатные операции в рамках сотрудничества с фондом "ДОМ", 2009-2013</t>
  </si>
  <si>
    <t xml:space="preserve">Примечания: 
1. Количество оплаченных операций превышает количество детей, так как некоторым детям требовалось 2 и более операций с промежутком между операциями от нескольких месяцев до нескольких лет. </t>
  </si>
  <si>
    <t>Московская обл.,г.Электросталь ООО</t>
  </si>
  <si>
    <t>ООО Реацентр Самара</t>
  </si>
  <si>
    <t>3000$-спонсор, 5000$-Самрук, 1000$-ПДЖ</t>
  </si>
  <si>
    <t>АО «Самрук-Қазына»,             ( доплата)</t>
  </si>
  <si>
    <t>КГБУЗ Краевой психоневрол.детс. санаторий</t>
  </si>
  <si>
    <r>
      <t>Двухсторонний гидронефроз III-IV степени, вторичный пиелонефрит со снижением функции почек, Дивертикул Хатча слева</t>
    </r>
    <r>
      <rPr>
        <sz val="9"/>
        <color indexed="8"/>
        <rFont val="Arial"/>
        <family val="2"/>
        <charset val="204"/>
      </rPr>
      <t xml:space="preserve"> </t>
    </r>
  </si>
  <si>
    <r>
      <t>Двухсторонний гидронефроз III-IV степени, вторичный пиелонефрит со снижением функции почек, Дивертикул Хатча слева</t>
    </r>
    <r>
      <rPr>
        <sz val="9"/>
        <color indexed="8"/>
        <rFont val="Arial"/>
        <family val="2"/>
        <charset val="204"/>
      </rPr>
      <t xml:space="preserve">  </t>
    </r>
  </si>
  <si>
    <t>Тотальная алоцепия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</si>
</sst>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12" x14ac:knownFonts="1">
    <font>
      <sz val="10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0" tint="-0.1499984740745262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23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0" fillId="0" borderId="0" xfId="0" applyFill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0" xfId="0" applyFill="1" applyAlignment="1"/>
    <xf numFmtId="0" fontId="0" fillId="0" borderId="0" xfId="0" applyAlignment="1"/>
    <xf numFmtId="0" fontId="3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3" fontId="7" fillId="0" borderId="0" xfId="0" applyNumberFormat="1" applyFont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left" vertical="top" wrapText="1"/>
    </xf>
    <xf numFmtId="3" fontId="7" fillId="0" borderId="0" xfId="0" applyNumberFormat="1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3" fontId="8" fillId="2" borderId="0" xfId="0" applyNumberFormat="1" applyFont="1" applyFill="1" applyBorder="1" applyAlignment="1">
      <alignment horizontal="left" vertical="top" wrapText="1"/>
    </xf>
    <xf numFmtId="3" fontId="7" fillId="2" borderId="0" xfId="0" applyNumberFormat="1" applyFont="1" applyFill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/>
    </xf>
    <xf numFmtId="0" fontId="1" fillId="3" borderId="13" xfId="0" applyNumberFormat="1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3" fontId="2" fillId="3" borderId="13" xfId="0" applyNumberFormat="1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vertical="top" wrapText="1"/>
    </xf>
    <xf numFmtId="3" fontId="1" fillId="3" borderId="6" xfId="0" applyNumberFormat="1" applyFont="1" applyFill="1" applyBorder="1" applyAlignment="1">
      <alignment vertical="top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right" vertical="top" wrapText="1"/>
    </xf>
    <xf numFmtId="0" fontId="4" fillId="2" borderId="16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164" fontId="2" fillId="3" borderId="6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0" fillId="4" borderId="0" xfId="0" applyFill="1"/>
    <xf numFmtId="0" fontId="0" fillId="5" borderId="0" xfId="0" applyFill="1" applyAlignment="1">
      <alignment wrapText="1"/>
    </xf>
    <xf numFmtId="0" fontId="0" fillId="5" borderId="0" xfId="0" applyFill="1"/>
    <xf numFmtId="0" fontId="0" fillId="6" borderId="0" xfId="0" applyFill="1"/>
    <xf numFmtId="3" fontId="7" fillId="0" borderId="0" xfId="0" applyNumberFormat="1" applyFont="1" applyFill="1" applyBorder="1" applyAlignment="1">
      <alignment vertical="top" wrapText="1"/>
    </xf>
    <xf numFmtId="0" fontId="0" fillId="7" borderId="0" xfId="0" applyFill="1"/>
    <xf numFmtId="0" fontId="0" fillId="5" borderId="0" xfId="0" applyFill="1" applyAlignment="1">
      <alignment vertical="top" wrapText="1"/>
    </xf>
    <xf numFmtId="0" fontId="1" fillId="5" borderId="8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 wrapText="1"/>
    </xf>
    <xf numFmtId="3" fontId="1" fillId="5" borderId="8" xfId="0" applyNumberFormat="1" applyFont="1" applyFill="1" applyBorder="1" applyAlignment="1">
      <alignment vertical="top"/>
    </xf>
    <xf numFmtId="3" fontId="1" fillId="5" borderId="8" xfId="0" applyNumberFormat="1" applyFont="1" applyFill="1" applyBorder="1" applyAlignment="1">
      <alignment horizontal="right"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/>
    </xf>
    <xf numFmtId="14" fontId="1" fillId="5" borderId="8" xfId="0" applyNumberFormat="1" applyFont="1" applyFill="1" applyBorder="1" applyAlignment="1">
      <alignment vertical="top"/>
    </xf>
    <xf numFmtId="0" fontId="1" fillId="5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right" vertical="top"/>
    </xf>
    <xf numFmtId="0" fontId="1" fillId="5" borderId="9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3" fontId="1" fillId="5" borderId="8" xfId="0" applyNumberFormat="1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right" vertical="top"/>
    </xf>
    <xf numFmtId="0" fontId="1" fillId="5" borderId="11" xfId="0" applyFont="1" applyFill="1" applyBorder="1" applyAlignment="1">
      <alignment horizontal="center" vertical="top"/>
    </xf>
    <xf numFmtId="0" fontId="0" fillId="5" borderId="8" xfId="0" applyFill="1" applyBorder="1"/>
    <xf numFmtId="3" fontId="1" fillId="5" borderId="8" xfId="0" applyNumberFormat="1" applyFont="1" applyFill="1" applyBorder="1" applyAlignment="1">
      <alignment vertical="top" wrapText="1"/>
    </xf>
    <xf numFmtId="14" fontId="1" fillId="5" borderId="8" xfId="0" applyNumberFormat="1" applyFont="1" applyFill="1" applyBorder="1" applyAlignment="1">
      <alignment horizontal="right" vertical="top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3" fontId="1" fillId="5" borderId="1" xfId="0" applyNumberFormat="1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left" vertical="top" wrapText="1"/>
    </xf>
    <xf numFmtId="3" fontId="1" fillId="5" borderId="8" xfId="0" applyNumberFormat="1" applyFont="1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center" wrapText="1"/>
    </xf>
    <xf numFmtId="0" fontId="1" fillId="5" borderId="38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vertical="center" wrapText="1"/>
    </xf>
    <xf numFmtId="3" fontId="1" fillId="5" borderId="9" xfId="0" applyNumberFormat="1" applyFont="1" applyFill="1" applyBorder="1" applyAlignment="1">
      <alignment vertical="top" wrapText="1"/>
    </xf>
    <xf numFmtId="3" fontId="1" fillId="5" borderId="9" xfId="0" applyNumberFormat="1" applyFont="1" applyFill="1" applyBorder="1" applyAlignment="1">
      <alignment horizontal="right" vertical="top" wrapText="1"/>
    </xf>
    <xf numFmtId="0" fontId="1" fillId="5" borderId="9" xfId="0" applyFont="1" applyFill="1" applyBorder="1" applyAlignment="1">
      <alignment vertical="top"/>
    </xf>
    <xf numFmtId="14" fontId="1" fillId="5" borderId="9" xfId="0" applyNumberFormat="1" applyFont="1" applyFill="1" applyBorder="1" applyAlignment="1">
      <alignment horizontal="right" vertical="top" wrapText="1"/>
    </xf>
    <xf numFmtId="0" fontId="1" fillId="5" borderId="28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3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3" fontId="1" fillId="5" borderId="11" xfId="0" applyNumberFormat="1" applyFont="1" applyFill="1" applyBorder="1" applyAlignment="1">
      <alignment horizontal="righ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26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/>
    </xf>
    <xf numFmtId="0" fontId="1" fillId="5" borderId="2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3" fontId="1" fillId="5" borderId="11" xfId="0" applyNumberFormat="1" applyFont="1" applyFill="1" applyBorder="1" applyAlignment="1">
      <alignment vertical="top" wrapText="1"/>
    </xf>
    <xf numFmtId="1" fontId="1" fillId="5" borderId="8" xfId="0" applyNumberFormat="1" applyFont="1" applyFill="1" applyBorder="1" applyAlignment="1">
      <alignment horizontal="right" vertical="top" wrapText="1"/>
    </xf>
    <xf numFmtId="1" fontId="1" fillId="5" borderId="8" xfId="0" applyNumberFormat="1" applyFont="1" applyFill="1" applyBorder="1" applyAlignment="1">
      <alignment vertical="top"/>
    </xf>
    <xf numFmtId="49" fontId="1" fillId="5" borderId="8" xfId="0" applyNumberFormat="1" applyFont="1" applyFill="1" applyBorder="1" applyAlignment="1">
      <alignment horizontal="right" vertical="top"/>
    </xf>
    <xf numFmtId="0" fontId="1" fillId="5" borderId="18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49" fontId="1" fillId="5" borderId="0" xfId="0" applyNumberFormat="1" applyFont="1" applyFill="1" applyAlignment="1">
      <alignment vertical="top"/>
    </xf>
    <xf numFmtId="0" fontId="0" fillId="5" borderId="8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 wrapText="1"/>
    </xf>
    <xf numFmtId="0" fontId="0" fillId="5" borderId="8" xfId="0" applyFill="1" applyBorder="1" applyAlignment="1">
      <alignment vertical="top"/>
    </xf>
    <xf numFmtId="1" fontId="0" fillId="5" borderId="8" xfId="0" applyNumberFormat="1" applyFill="1" applyBorder="1" applyAlignment="1">
      <alignment vertical="top"/>
    </xf>
    <xf numFmtId="0" fontId="0" fillId="5" borderId="10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 wrapText="1"/>
    </xf>
    <xf numFmtId="0" fontId="0" fillId="5" borderId="10" xfId="0" applyFill="1" applyBorder="1" applyAlignment="1">
      <alignment vertical="top"/>
    </xf>
    <xf numFmtId="1" fontId="0" fillId="5" borderId="10" xfId="0" applyNumberFormat="1" applyFill="1" applyBorder="1" applyAlignment="1">
      <alignment vertical="top"/>
    </xf>
    <xf numFmtId="0" fontId="0" fillId="5" borderId="11" xfId="0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top"/>
    </xf>
    <xf numFmtId="1" fontId="1" fillId="5" borderId="11" xfId="0" applyNumberFormat="1" applyFont="1" applyFill="1" applyBorder="1" applyAlignment="1">
      <alignment vertical="top"/>
    </xf>
    <xf numFmtId="0" fontId="1" fillId="5" borderId="9" xfId="0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vertical="top"/>
    </xf>
    <xf numFmtId="0" fontId="0" fillId="5" borderId="11" xfId="0" applyFill="1" applyBorder="1" applyAlignment="1">
      <alignment horizontal="right" vertical="top" wrapText="1"/>
    </xf>
    <xf numFmtId="49" fontId="1" fillId="5" borderId="11" xfId="0" applyNumberFormat="1" applyFont="1" applyFill="1" applyBorder="1" applyAlignment="1">
      <alignment horizontal="right" vertical="top"/>
    </xf>
    <xf numFmtId="14" fontId="1" fillId="5" borderId="11" xfId="0" applyNumberFormat="1" applyFont="1" applyFill="1" applyBorder="1" applyAlignment="1">
      <alignment horizontal="right" vertical="top" wrapText="1"/>
    </xf>
    <xf numFmtId="0" fontId="1" fillId="5" borderId="10" xfId="0" applyFont="1" applyFill="1" applyBorder="1" applyAlignment="1">
      <alignment vertical="top"/>
    </xf>
    <xf numFmtId="1" fontId="1" fillId="5" borderId="10" xfId="0" applyNumberFormat="1" applyFont="1" applyFill="1" applyBorder="1" applyAlignment="1">
      <alignment vertical="top"/>
    </xf>
    <xf numFmtId="49" fontId="1" fillId="5" borderId="10" xfId="0" applyNumberFormat="1" applyFont="1" applyFill="1" applyBorder="1" applyAlignment="1">
      <alignment horizontal="right" vertical="top" wrapText="1"/>
    </xf>
    <xf numFmtId="49" fontId="1" fillId="5" borderId="10" xfId="0" applyNumberFormat="1" applyFont="1" applyFill="1" applyBorder="1" applyAlignment="1">
      <alignment horizontal="right" vertical="top"/>
    </xf>
    <xf numFmtId="49" fontId="1" fillId="5" borderId="11" xfId="0" applyNumberFormat="1" applyFont="1" applyFill="1" applyBorder="1" applyAlignment="1">
      <alignment horizontal="righ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23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1" fillId="8" borderId="5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vertical="top" wrapText="1"/>
    </xf>
    <xf numFmtId="164" fontId="6" fillId="5" borderId="8" xfId="0" applyNumberFormat="1" applyFont="1" applyFill="1" applyBorder="1" applyAlignment="1">
      <alignment horizontal="right" vertical="center"/>
    </xf>
    <xf numFmtId="164" fontId="6" fillId="5" borderId="9" xfId="0" applyNumberFormat="1" applyFont="1" applyFill="1" applyBorder="1" applyAlignment="1">
      <alignment horizontal="right" vertical="center"/>
    </xf>
    <xf numFmtId="164" fontId="6" fillId="5" borderId="11" xfId="0" applyNumberFormat="1" applyFont="1" applyFill="1" applyBorder="1" applyAlignment="1">
      <alignment horizontal="right" vertical="center"/>
    </xf>
    <xf numFmtId="49" fontId="1" fillId="5" borderId="9" xfId="0" applyNumberFormat="1" applyFont="1" applyFill="1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49" fontId="1" fillId="5" borderId="9" xfId="0" applyNumberFormat="1" applyFont="1" applyFill="1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64" fontId="6" fillId="5" borderId="9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4" fontId="1" fillId="5" borderId="9" xfId="0" applyNumberFormat="1" applyFont="1" applyFill="1" applyBorder="1" applyAlignment="1">
      <alignment horizontal="right" vertical="top" wrapText="1"/>
    </xf>
    <xf numFmtId="0" fontId="6" fillId="0" borderId="11" xfId="0" applyFont="1" applyBorder="1" applyAlignment="1">
      <alignment horizontal="right" vertical="center"/>
    </xf>
    <xf numFmtId="49" fontId="1" fillId="5" borderId="10" xfId="0" applyNumberFormat="1" applyFont="1" applyFill="1" applyBorder="1" applyAlignment="1">
      <alignment horizontal="right" vertical="top"/>
    </xf>
    <xf numFmtId="49" fontId="1" fillId="5" borderId="11" xfId="0" applyNumberFormat="1" applyFont="1" applyFill="1" applyBorder="1" applyAlignment="1">
      <alignment horizontal="right" vertical="top"/>
    </xf>
    <xf numFmtId="164" fontId="6" fillId="5" borderId="10" xfId="0" applyNumberFormat="1" applyFont="1" applyFill="1" applyBorder="1" applyAlignment="1">
      <alignment horizontal="right" vertical="center"/>
    </xf>
    <xf numFmtId="164" fontId="6" fillId="5" borderId="11" xfId="0" applyNumberFormat="1" applyFont="1" applyFill="1" applyBorder="1" applyAlignment="1">
      <alignment horizontal="right" vertical="center"/>
    </xf>
    <xf numFmtId="14" fontId="1" fillId="5" borderId="10" xfId="0" applyNumberFormat="1" applyFont="1" applyFill="1" applyBorder="1" applyAlignment="1">
      <alignment horizontal="right" vertical="top" wrapText="1"/>
    </xf>
    <xf numFmtId="14" fontId="1" fillId="5" borderId="11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" fontId="1" fillId="5" borderId="9" xfId="0" applyNumberFormat="1" applyFont="1" applyFill="1" applyBorder="1" applyAlignment="1">
      <alignment vertical="top"/>
    </xf>
    <xf numFmtId="1" fontId="1" fillId="5" borderId="10" xfId="0" applyNumberFormat="1" applyFont="1" applyFill="1" applyBorder="1" applyAlignment="1">
      <alignment vertical="top"/>
    </xf>
    <xf numFmtId="1" fontId="1" fillId="5" borderId="11" xfId="0" applyNumberFormat="1" applyFont="1" applyFill="1" applyBorder="1" applyAlignment="1">
      <alignment vertical="top"/>
    </xf>
    <xf numFmtId="1" fontId="0" fillId="5" borderId="11" xfId="0" applyNumberFormat="1" applyFill="1" applyBorder="1" applyAlignment="1">
      <alignment vertical="top"/>
    </xf>
    <xf numFmtId="0" fontId="1" fillId="5" borderId="9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5" borderId="23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top"/>
    </xf>
    <xf numFmtId="0" fontId="1" fillId="5" borderId="10" xfId="0" applyFont="1" applyFill="1" applyBorder="1" applyAlignment="1">
      <alignment vertical="top"/>
    </xf>
    <xf numFmtId="0" fontId="1" fillId="5" borderId="11" xfId="0" applyFont="1" applyFill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right" vertical="top" wrapText="1"/>
    </xf>
    <xf numFmtId="3" fontId="1" fillId="5" borderId="10" xfId="0" applyNumberFormat="1" applyFont="1" applyFill="1" applyBorder="1" applyAlignment="1">
      <alignment horizontal="right" vertical="top" wrapText="1"/>
    </xf>
    <xf numFmtId="3" fontId="1" fillId="5" borderId="11" xfId="0" applyNumberFormat="1" applyFont="1" applyFill="1" applyBorder="1" applyAlignment="1">
      <alignment horizontal="right" vertical="top" wrapText="1"/>
    </xf>
    <xf numFmtId="0" fontId="0" fillId="5" borderId="10" xfId="0" applyFill="1" applyBorder="1" applyAlignment="1">
      <alignment horizontal="right" vertical="top" wrapText="1"/>
    </xf>
    <xf numFmtId="0" fontId="0" fillId="5" borderId="11" xfId="0" applyFill="1" applyBorder="1" applyAlignment="1">
      <alignment horizontal="right" vertical="top" wrapText="1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vertical="top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vertical="top"/>
    </xf>
    <xf numFmtId="0" fontId="5" fillId="5" borderId="11" xfId="0" applyFont="1" applyFill="1" applyBorder="1" applyAlignment="1">
      <alignment horizontal="left" vertical="top" wrapText="1"/>
    </xf>
    <xf numFmtId="1" fontId="0" fillId="5" borderId="10" xfId="0" applyNumberFormat="1" applyFill="1" applyBorder="1" applyAlignment="1">
      <alignment vertical="top"/>
    </xf>
    <xf numFmtId="0" fontId="1" fillId="5" borderId="9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/>
    </xf>
    <xf numFmtId="0" fontId="1" fillId="5" borderId="28" xfId="0" applyFont="1" applyFill="1" applyBorder="1" applyAlignment="1">
      <alignment horizontal="left" vertical="top" wrapText="1"/>
    </xf>
    <xf numFmtId="49" fontId="1" fillId="5" borderId="11" xfId="0" applyNumberFormat="1" applyFont="1" applyFill="1" applyBorder="1" applyAlignment="1">
      <alignment horizontal="right" vertical="top" wrapText="1"/>
    </xf>
    <xf numFmtId="0" fontId="1" fillId="5" borderId="9" xfId="0" applyFont="1" applyFill="1" applyBorder="1" applyAlignment="1">
      <alignment vertical="top" wrapText="1"/>
    </xf>
    <xf numFmtId="0" fontId="5" fillId="5" borderId="11" xfId="0" applyFont="1" applyFill="1" applyBorder="1" applyAlignment="1">
      <alignment vertical="top" wrapText="1"/>
    </xf>
    <xf numFmtId="0" fontId="1" fillId="5" borderId="23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wrapText="1"/>
    </xf>
    <xf numFmtId="0" fontId="0" fillId="5" borderId="0" xfId="0" applyFill="1" applyAlignment="1"/>
    <xf numFmtId="0" fontId="1" fillId="5" borderId="9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1" fillId="5" borderId="32" xfId="0" applyFont="1" applyFill="1" applyBorder="1" applyAlignment="1">
      <alignment horizontal="left" vertical="top" wrapText="1"/>
    </xf>
    <xf numFmtId="0" fontId="0" fillId="5" borderId="33" xfId="0" applyFill="1" applyBorder="1" applyAlignment="1">
      <alignment horizontal="left" vertical="top" wrapText="1"/>
    </xf>
    <xf numFmtId="3" fontId="1" fillId="5" borderId="9" xfId="0" applyNumberFormat="1" applyFont="1" applyFill="1" applyBorder="1" applyAlignment="1">
      <alignment vertical="top" wrapText="1"/>
    </xf>
    <xf numFmtId="3" fontId="1" fillId="5" borderId="11" xfId="0" applyNumberFormat="1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37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29" xfId="0" applyFont="1" applyFill="1" applyBorder="1" applyAlignment="1">
      <alignment horizontal="left" vertical="top" wrapText="1"/>
    </xf>
    <xf numFmtId="0" fontId="1" fillId="5" borderId="36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8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34" xfId="0" applyFont="1" applyFill="1" applyBorder="1" applyAlignment="1">
      <alignment horizontal="left" vertical="top" wrapText="1"/>
    </xf>
    <xf numFmtId="0" fontId="5" fillId="5" borderId="35" xfId="0" applyFont="1" applyFill="1" applyBorder="1" applyAlignment="1">
      <alignment horizontal="left" vertical="top" wrapText="1"/>
    </xf>
    <xf numFmtId="49" fontId="1" fillId="5" borderId="10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4"/>
  <sheetViews>
    <sheetView tabSelected="1" zoomScale="85" zoomScaleNormal="85" workbookViewId="0">
      <selection activeCell="M13" sqref="M13"/>
    </sheetView>
  </sheetViews>
  <sheetFormatPr defaultRowHeight="13.2" x14ac:dyDescent="0.25"/>
  <cols>
    <col min="1" max="1" width="5.33203125" style="1" customWidth="1"/>
    <col min="2" max="2" width="14.5546875" style="2" customWidth="1"/>
    <col min="3" max="3" width="5.6640625" style="3" customWidth="1"/>
    <col min="4" max="4" width="12.88671875" style="3" customWidth="1"/>
    <col min="5" max="5" width="9.109375" style="3" customWidth="1"/>
    <col min="6" max="6" width="16.33203125" style="3" customWidth="1"/>
    <col min="7" max="7" width="9.33203125" style="4" customWidth="1"/>
    <col min="8" max="8" width="11.6640625" style="5" customWidth="1"/>
    <col min="9" max="9" width="12" style="24" customWidth="1"/>
    <col min="10" max="10" width="4.6640625" style="6" customWidth="1"/>
    <col min="11" max="11" width="5.6640625" style="6" customWidth="1"/>
    <col min="12" max="12" width="7.33203125" style="48" customWidth="1"/>
    <col min="13" max="13" width="7.33203125" style="7" customWidth="1"/>
    <col min="14" max="14" width="12.5546875" style="7" customWidth="1"/>
    <col min="15" max="15" width="11" style="8" customWidth="1"/>
    <col min="16" max="18" width="9.109375" style="9"/>
  </cols>
  <sheetData>
    <row r="1" spans="1:18" ht="29.25" customHeight="1" x14ac:dyDescent="0.25">
      <c r="B1" s="10" t="s">
        <v>0</v>
      </c>
      <c r="C1" s="10"/>
      <c r="D1" s="10"/>
      <c r="E1" s="10"/>
      <c r="F1" s="10"/>
      <c r="G1" s="10"/>
      <c r="H1" s="10"/>
      <c r="I1" s="10"/>
    </row>
    <row r="2" spans="1:18" ht="22.5" customHeight="1" x14ac:dyDescent="0.25">
      <c r="B2" s="202" t="s">
        <v>1186</v>
      </c>
      <c r="C2" s="202"/>
      <c r="D2" s="202"/>
      <c r="E2" s="202"/>
      <c r="F2" s="202"/>
      <c r="G2" s="10"/>
      <c r="H2" s="10"/>
      <c r="I2" s="10"/>
    </row>
    <row r="3" spans="1:18" ht="60.6" customHeight="1" x14ac:dyDescent="0.25">
      <c r="B3" s="205" t="s">
        <v>1332</v>
      </c>
      <c r="C3" s="205"/>
      <c r="D3" s="205"/>
      <c r="E3" s="205"/>
      <c r="F3" s="205"/>
      <c r="G3" s="205"/>
      <c r="H3" s="205"/>
      <c r="I3" s="10"/>
    </row>
    <row r="4" spans="1:18" ht="57" customHeight="1" x14ac:dyDescent="0.25">
      <c r="A4" s="27"/>
      <c r="B4" s="28"/>
      <c r="C4" s="28"/>
      <c r="D4" s="28" t="s">
        <v>1</v>
      </c>
      <c r="E4" s="28" t="s">
        <v>1198</v>
      </c>
      <c r="F4" s="28" t="s">
        <v>2</v>
      </c>
      <c r="G4" s="28" t="s">
        <v>148</v>
      </c>
      <c r="H4" s="28"/>
      <c r="I4"/>
      <c r="J4"/>
      <c r="K4"/>
      <c r="L4"/>
      <c r="M4"/>
      <c r="N4"/>
      <c r="O4"/>
      <c r="P4"/>
      <c r="Q4"/>
      <c r="R4"/>
    </row>
    <row r="5" spans="1:18" s="13" customFormat="1" ht="18.75" customHeight="1" x14ac:dyDescent="0.25">
      <c r="A5" s="25"/>
      <c r="B5" s="29">
        <v>2007</v>
      </c>
      <c r="C5" s="30"/>
      <c r="D5" s="29">
        <v>9</v>
      </c>
      <c r="E5" s="29">
        <v>11</v>
      </c>
      <c r="F5" s="31">
        <v>154118</v>
      </c>
      <c r="G5" s="32"/>
      <c r="H5" s="34"/>
    </row>
    <row r="6" spans="1:18" s="13" customFormat="1" ht="18.75" customHeight="1" x14ac:dyDescent="0.25">
      <c r="A6" s="25"/>
      <c r="B6" s="29">
        <v>2008</v>
      </c>
      <c r="C6" s="30"/>
      <c r="D6" s="29">
        <v>44</v>
      </c>
      <c r="E6" s="29">
        <v>45</v>
      </c>
      <c r="F6" s="31">
        <v>333446</v>
      </c>
      <c r="G6" s="31">
        <v>3728</v>
      </c>
      <c r="H6" s="34"/>
    </row>
    <row r="7" spans="1:18" s="13" customFormat="1" ht="18.75" customHeight="1" x14ac:dyDescent="0.25">
      <c r="A7" s="25"/>
      <c r="B7" s="29">
        <v>2009</v>
      </c>
      <c r="C7" s="29"/>
      <c r="D7" s="29">
        <v>56</v>
      </c>
      <c r="E7" s="29">
        <v>58</v>
      </c>
      <c r="F7" s="31">
        <v>319410</v>
      </c>
      <c r="G7" s="32"/>
      <c r="H7" s="34"/>
    </row>
    <row r="8" spans="1:18" s="13" customFormat="1" ht="18.75" customHeight="1" x14ac:dyDescent="0.25">
      <c r="A8" s="25"/>
      <c r="B8" s="29">
        <v>2010</v>
      </c>
      <c r="C8" s="29"/>
      <c r="D8" s="29">
        <v>111</v>
      </c>
      <c r="E8" s="29">
        <v>117</v>
      </c>
      <c r="F8" s="41">
        <v>719142</v>
      </c>
      <c r="G8" s="32"/>
      <c r="H8" s="34"/>
    </row>
    <row r="9" spans="1:18" s="13" customFormat="1" ht="18.75" customHeight="1" x14ac:dyDescent="0.25">
      <c r="A9" s="25"/>
      <c r="B9" s="29">
        <v>2011</v>
      </c>
      <c r="C9" s="29"/>
      <c r="D9" s="29">
        <v>50</v>
      </c>
      <c r="E9" s="29">
        <v>66</v>
      </c>
      <c r="F9" s="31">
        <v>481156</v>
      </c>
      <c r="G9" s="32"/>
      <c r="H9" s="34"/>
    </row>
    <row r="10" spans="1:18" s="13" customFormat="1" ht="18.75" customHeight="1" x14ac:dyDescent="0.25">
      <c r="A10" s="25"/>
      <c r="B10" s="29">
        <v>2012</v>
      </c>
      <c r="C10" s="29"/>
      <c r="D10" s="29">
        <v>38</v>
      </c>
      <c r="E10" s="29">
        <v>58</v>
      </c>
      <c r="F10" s="31">
        <v>492679</v>
      </c>
      <c r="G10" s="32"/>
      <c r="H10" s="34"/>
    </row>
    <row r="11" spans="1:18" s="13" customFormat="1" ht="18.75" customHeight="1" x14ac:dyDescent="0.25">
      <c r="A11" s="25"/>
      <c r="B11" s="29">
        <v>2013</v>
      </c>
      <c r="C11" s="29"/>
      <c r="D11" s="29">
        <v>337</v>
      </c>
      <c r="E11" s="29">
        <v>465</v>
      </c>
      <c r="F11" s="31">
        <v>2598525</v>
      </c>
      <c r="G11" s="32"/>
      <c r="H11" s="34"/>
    </row>
    <row r="12" spans="1:18" s="13" customFormat="1" ht="18.75" customHeight="1" x14ac:dyDescent="0.25">
      <c r="A12" s="25"/>
      <c r="B12" s="29">
        <v>2014</v>
      </c>
      <c r="C12" s="29"/>
      <c r="D12" s="29">
        <v>299</v>
      </c>
      <c r="E12" s="31">
        <v>540</v>
      </c>
      <c r="F12" s="31">
        <f>G662</f>
        <v>3250982.9121927908</v>
      </c>
      <c r="G12" s="32"/>
      <c r="H12" s="34"/>
    </row>
    <row r="13" spans="1:18" s="12" customFormat="1" ht="29.25" customHeight="1" x14ac:dyDescent="0.25">
      <c r="A13" s="35"/>
      <c r="B13" s="203" t="s">
        <v>1191</v>
      </c>
      <c r="C13" s="203"/>
      <c r="D13" s="36">
        <f>SUM(D5:D12)</f>
        <v>944</v>
      </c>
      <c r="E13" s="36">
        <f>SUM(E5:E12)</f>
        <v>1360</v>
      </c>
      <c r="F13" s="37">
        <f>SUM(F5:F12)</f>
        <v>8349458.9121927908</v>
      </c>
      <c r="G13" s="37">
        <f>SUM(G5:G8)</f>
        <v>3728</v>
      </c>
      <c r="H13" s="39"/>
    </row>
    <row r="14" spans="1:18" s="12" customFormat="1" ht="30.75" customHeight="1" x14ac:dyDescent="0.25">
      <c r="A14" s="35"/>
      <c r="B14" s="186" t="s">
        <v>1190</v>
      </c>
      <c r="C14" s="186"/>
      <c r="D14" s="40">
        <v>29</v>
      </c>
      <c r="E14" s="40">
        <v>30</v>
      </c>
      <c r="F14" s="41">
        <v>180630</v>
      </c>
      <c r="G14" s="38"/>
      <c r="H14" s="39"/>
    </row>
    <row r="15" spans="1:18" s="12" customFormat="1" ht="38.25" customHeight="1" x14ac:dyDescent="0.25">
      <c r="A15" s="35"/>
      <c r="B15" s="186" t="s">
        <v>1188</v>
      </c>
      <c r="C15" s="186"/>
      <c r="D15" s="40">
        <v>9</v>
      </c>
      <c r="E15" s="40">
        <v>9</v>
      </c>
      <c r="F15" s="41">
        <v>27849</v>
      </c>
      <c r="G15" s="38"/>
      <c r="H15" s="39"/>
    </row>
    <row r="16" spans="1:18" s="12" customFormat="1" ht="30" customHeight="1" x14ac:dyDescent="0.25">
      <c r="A16" s="35"/>
      <c r="B16" s="186" t="s">
        <v>1189</v>
      </c>
      <c r="C16" s="186"/>
      <c r="D16" s="40">
        <v>20</v>
      </c>
      <c r="E16" s="40">
        <v>21</v>
      </c>
      <c r="F16" s="41">
        <v>51541</v>
      </c>
      <c r="G16" s="38"/>
      <c r="H16" s="39"/>
    </row>
    <row r="17" spans="1:23" s="13" customFormat="1" ht="65.25" customHeight="1" x14ac:dyDescent="0.25">
      <c r="A17" s="25"/>
      <c r="B17" s="204" t="s">
        <v>1331</v>
      </c>
      <c r="C17" s="204"/>
      <c r="D17" s="29">
        <v>20</v>
      </c>
      <c r="E17" s="31">
        <v>20</v>
      </c>
      <c r="F17" s="26"/>
      <c r="G17" s="33"/>
      <c r="H17" s="34"/>
    </row>
    <row r="18" spans="1:23" s="13" customFormat="1" ht="51" customHeight="1" x14ac:dyDescent="0.25">
      <c r="A18" s="42"/>
      <c r="B18" s="185" t="s">
        <v>274</v>
      </c>
      <c r="C18" s="185"/>
      <c r="D18" s="28">
        <f>SUM(D13:D17)</f>
        <v>1022</v>
      </c>
      <c r="E18" s="43">
        <f>SUM(E13:E17)</f>
        <v>1440</v>
      </c>
      <c r="F18" s="43">
        <f>SUM(F13:F17)</f>
        <v>8609478.9121927917</v>
      </c>
      <c r="G18" s="44"/>
      <c r="H18" s="45"/>
    </row>
    <row r="19" spans="1:23" s="13" customFormat="1" ht="124.95" customHeight="1" x14ac:dyDescent="0.25">
      <c r="A19" s="35"/>
      <c r="B19" s="40" t="s">
        <v>142</v>
      </c>
      <c r="C19" s="40"/>
      <c r="D19" s="40">
        <f>13</f>
        <v>13</v>
      </c>
      <c r="E19" s="31">
        <v>13</v>
      </c>
      <c r="F19" s="41">
        <v>78500</v>
      </c>
      <c r="G19" s="186" t="s">
        <v>143</v>
      </c>
      <c r="H19" s="186"/>
    </row>
    <row r="20" spans="1:23" s="13" customFormat="1" ht="26.25" customHeight="1" x14ac:dyDescent="0.25">
      <c r="A20" s="35"/>
      <c r="B20" s="36" t="s">
        <v>149</v>
      </c>
      <c r="C20" s="36"/>
      <c r="D20" s="36">
        <f>D19+D18</f>
        <v>1035</v>
      </c>
      <c r="E20" s="37">
        <f>SUM(E18+E19)</f>
        <v>1453</v>
      </c>
      <c r="F20" s="71"/>
      <c r="G20" s="71"/>
      <c r="H20" s="71"/>
    </row>
    <row r="21" spans="1:23" ht="18.75" customHeight="1" x14ac:dyDescent="0.25">
      <c r="B21" s="10"/>
      <c r="C21" s="10"/>
      <c r="D21" s="10"/>
      <c r="E21" s="10"/>
      <c r="F21" s="10"/>
      <c r="G21" s="10"/>
      <c r="H21" s="11"/>
    </row>
    <row r="22" spans="1:23" ht="91.5" customHeight="1" x14ac:dyDescent="0.25">
      <c r="A22" s="14"/>
      <c r="B22" s="15" t="s">
        <v>3</v>
      </c>
      <c r="C22" s="16" t="s">
        <v>4</v>
      </c>
      <c r="D22" s="16" t="s">
        <v>5</v>
      </c>
      <c r="E22" s="16" t="s">
        <v>6</v>
      </c>
      <c r="F22" s="16" t="s">
        <v>7</v>
      </c>
      <c r="G22" s="16" t="s">
        <v>8</v>
      </c>
      <c r="H22" s="16" t="s">
        <v>1199</v>
      </c>
      <c r="I22" s="16" t="s">
        <v>9</v>
      </c>
      <c r="J22" s="47" t="s">
        <v>267</v>
      </c>
      <c r="K22" s="47" t="s">
        <v>268</v>
      </c>
      <c r="L22" s="46" t="s">
        <v>10</v>
      </c>
      <c r="M22" s="46" t="s">
        <v>11</v>
      </c>
      <c r="N22" s="46" t="s">
        <v>758</v>
      </c>
      <c r="O22" s="46" t="s">
        <v>12</v>
      </c>
    </row>
    <row r="23" spans="1:23" s="23" customFormat="1" ht="23.25" customHeight="1" x14ac:dyDescent="0.25">
      <c r="A23" s="17"/>
      <c r="B23" s="18">
        <v>2014</v>
      </c>
      <c r="C23" s="19"/>
      <c r="D23" s="19"/>
      <c r="E23" s="20"/>
      <c r="F23" s="19"/>
      <c r="G23" s="61"/>
      <c r="H23" s="21"/>
      <c r="I23" s="164"/>
      <c r="J23" s="58"/>
      <c r="K23" s="58"/>
      <c r="L23" s="58"/>
      <c r="M23" s="59"/>
      <c r="N23" s="59"/>
      <c r="O23" s="60"/>
      <c r="P23" s="22"/>
      <c r="Q23" s="22"/>
      <c r="R23" s="22"/>
    </row>
    <row r="24" spans="1:23" s="9" customFormat="1" ht="40.5" customHeight="1" x14ac:dyDescent="0.25">
      <c r="A24" s="74"/>
      <c r="B24" s="75" t="s">
        <v>226</v>
      </c>
      <c r="C24" s="75">
        <v>2007</v>
      </c>
      <c r="D24" s="75" t="s">
        <v>46</v>
      </c>
      <c r="E24" s="75" t="s">
        <v>317</v>
      </c>
      <c r="F24" s="75" t="s">
        <v>200</v>
      </c>
      <c r="G24" s="76">
        <v>6892.52</v>
      </c>
      <c r="H24" s="77" t="s">
        <v>1241</v>
      </c>
      <c r="I24" s="78" t="s">
        <v>41</v>
      </c>
      <c r="J24" s="79">
        <v>1</v>
      </c>
      <c r="K24" s="79">
        <v>914</v>
      </c>
      <c r="L24" s="79">
        <v>154.47</v>
      </c>
      <c r="M24" s="79">
        <v>154.47</v>
      </c>
      <c r="N24" s="168">
        <f>G24*M24</f>
        <v>1064687.5644</v>
      </c>
      <c r="O24" s="80">
        <v>41647</v>
      </c>
    </row>
    <row r="25" spans="1:23" s="9" customFormat="1" ht="38.4" customHeight="1" x14ac:dyDescent="0.25">
      <c r="A25" s="74"/>
      <c r="B25" s="75" t="s">
        <v>318</v>
      </c>
      <c r="C25" s="75">
        <v>2009</v>
      </c>
      <c r="D25" s="75" t="s">
        <v>46</v>
      </c>
      <c r="E25" s="75" t="s">
        <v>317</v>
      </c>
      <c r="F25" s="75" t="s">
        <v>200</v>
      </c>
      <c r="G25" s="76">
        <v>6622.09</v>
      </c>
      <c r="H25" s="77" t="s">
        <v>667</v>
      </c>
      <c r="I25" s="78" t="s">
        <v>41</v>
      </c>
      <c r="J25" s="79">
        <v>2</v>
      </c>
      <c r="K25" s="79">
        <v>915</v>
      </c>
      <c r="L25" s="79">
        <v>154.47</v>
      </c>
      <c r="M25" s="79">
        <v>154.47</v>
      </c>
      <c r="N25" s="168">
        <f>G25*M25</f>
        <v>1022914.2423</v>
      </c>
      <c r="O25" s="80">
        <v>41647</v>
      </c>
      <c r="P25" s="64"/>
    </row>
    <row r="26" spans="1:23" s="9" customFormat="1" ht="54.75" customHeight="1" x14ac:dyDescent="0.25">
      <c r="A26" s="74">
        <v>737</v>
      </c>
      <c r="B26" s="75" t="s">
        <v>302</v>
      </c>
      <c r="C26" s="75">
        <v>1999</v>
      </c>
      <c r="D26" s="75" t="s">
        <v>319</v>
      </c>
      <c r="E26" s="75">
        <v>2014</v>
      </c>
      <c r="F26" s="75" t="s">
        <v>240</v>
      </c>
      <c r="G26" s="76">
        <v>18260.560000000001</v>
      </c>
      <c r="H26" s="77" t="s">
        <v>1229</v>
      </c>
      <c r="I26" s="78" t="s">
        <v>428</v>
      </c>
      <c r="J26" s="79">
        <v>3</v>
      </c>
      <c r="K26" s="79">
        <v>916</v>
      </c>
      <c r="L26" s="79">
        <v>154.47</v>
      </c>
      <c r="M26" s="79">
        <v>154.47</v>
      </c>
      <c r="N26" s="168">
        <f>G26*M26</f>
        <v>2820708.7032000003</v>
      </c>
      <c r="O26" s="80">
        <v>41647</v>
      </c>
    </row>
    <row r="27" spans="1:23" s="9" customFormat="1" ht="42.75" customHeight="1" x14ac:dyDescent="0.25">
      <c r="A27" s="74"/>
      <c r="B27" s="75" t="s">
        <v>15</v>
      </c>
      <c r="C27" s="75">
        <v>2010</v>
      </c>
      <c r="D27" s="75" t="s">
        <v>320</v>
      </c>
      <c r="E27" s="75">
        <v>2014</v>
      </c>
      <c r="F27" s="75" t="s">
        <v>240</v>
      </c>
      <c r="G27" s="76">
        <v>9000</v>
      </c>
      <c r="H27" s="77" t="s">
        <v>102</v>
      </c>
      <c r="I27" s="81" t="s">
        <v>48</v>
      </c>
      <c r="J27" s="79">
        <v>4</v>
      </c>
      <c r="K27" s="79">
        <v>917</v>
      </c>
      <c r="L27" s="79">
        <v>154.47</v>
      </c>
      <c r="M27" s="79">
        <v>154.47</v>
      </c>
      <c r="N27" s="168">
        <f>G27*M27</f>
        <v>1390230</v>
      </c>
      <c r="O27" s="80">
        <v>41647</v>
      </c>
    </row>
    <row r="28" spans="1:23" s="72" customFormat="1" ht="32.4" customHeight="1" x14ac:dyDescent="0.25">
      <c r="A28" s="220">
        <v>738</v>
      </c>
      <c r="B28" s="82" t="s">
        <v>303</v>
      </c>
      <c r="C28" s="82">
        <v>2003</v>
      </c>
      <c r="D28" s="82" t="s">
        <v>304</v>
      </c>
      <c r="E28" s="82">
        <v>2014</v>
      </c>
      <c r="F28" s="82" t="s">
        <v>305</v>
      </c>
      <c r="G28" s="76">
        <f>N28/L28</f>
        <v>21996.517770440863</v>
      </c>
      <c r="H28" s="77" t="s">
        <v>306</v>
      </c>
      <c r="I28" s="78" t="s">
        <v>41</v>
      </c>
      <c r="J28" s="83">
        <v>5</v>
      </c>
      <c r="K28" s="84">
        <v>918</v>
      </c>
      <c r="L28" s="79">
        <v>154.47</v>
      </c>
      <c r="M28" s="79">
        <v>210.13</v>
      </c>
      <c r="N28" s="168">
        <f>16170*M28</f>
        <v>3397802.1</v>
      </c>
      <c r="O28" s="80">
        <v>41647</v>
      </c>
      <c r="P28" s="69"/>
      <c r="Q28" s="69"/>
      <c r="R28" s="69"/>
      <c r="S28" s="69"/>
      <c r="T28" s="69"/>
      <c r="U28" s="69"/>
      <c r="V28" s="69"/>
      <c r="W28" s="69"/>
    </row>
    <row r="29" spans="1:23" s="72" customFormat="1" ht="30.75" customHeight="1" x14ac:dyDescent="0.25">
      <c r="A29" s="221"/>
      <c r="B29" s="85"/>
      <c r="C29" s="85"/>
      <c r="D29" s="85"/>
      <c r="E29" s="85"/>
      <c r="F29" s="85"/>
      <c r="G29" s="76">
        <f>N29/L29</f>
        <v>22000.996828273674</v>
      </c>
      <c r="H29" s="77" t="s">
        <v>306</v>
      </c>
      <c r="I29" s="86" t="s">
        <v>321</v>
      </c>
      <c r="J29" s="87"/>
      <c r="K29" s="88"/>
      <c r="L29" s="79">
        <v>154.49</v>
      </c>
      <c r="M29" s="79">
        <v>210.2</v>
      </c>
      <c r="N29" s="168">
        <f>16170*M29</f>
        <v>3398934</v>
      </c>
      <c r="O29" s="80">
        <v>41648</v>
      </c>
      <c r="P29" s="69"/>
      <c r="Q29" s="69"/>
      <c r="R29" s="69"/>
      <c r="S29" s="69"/>
      <c r="T29" s="69"/>
      <c r="U29" s="69"/>
      <c r="V29" s="69"/>
      <c r="W29" s="69"/>
    </row>
    <row r="30" spans="1:23" s="9" customFormat="1" ht="40.5" customHeight="1" x14ac:dyDescent="0.25">
      <c r="A30" s="74">
        <v>739</v>
      </c>
      <c r="B30" s="75" t="s">
        <v>307</v>
      </c>
      <c r="C30" s="75">
        <v>2008</v>
      </c>
      <c r="D30" s="75" t="s">
        <v>308</v>
      </c>
      <c r="E30" s="75">
        <v>2014</v>
      </c>
      <c r="F30" s="75" t="s">
        <v>322</v>
      </c>
      <c r="G30" s="79">
        <v>1018</v>
      </c>
      <c r="H30" s="77" t="s">
        <v>1261</v>
      </c>
      <c r="I30" s="78" t="s">
        <v>41</v>
      </c>
      <c r="J30" s="79">
        <v>6</v>
      </c>
      <c r="K30" s="79">
        <v>919</v>
      </c>
      <c r="L30" s="79">
        <v>154.63999999999999</v>
      </c>
      <c r="M30" s="79">
        <v>4.67</v>
      </c>
      <c r="N30" s="168">
        <f>33700*M30</f>
        <v>157379</v>
      </c>
      <c r="O30" s="80">
        <v>41653</v>
      </c>
      <c r="P30" s="68"/>
      <c r="Q30" s="69"/>
      <c r="R30" s="69"/>
      <c r="S30" s="69"/>
      <c r="T30" s="69"/>
      <c r="U30" s="69"/>
      <c r="V30" s="69"/>
      <c r="W30" s="69"/>
    </row>
    <row r="31" spans="1:23" s="9" customFormat="1" ht="39" customHeight="1" x14ac:dyDescent="0.25">
      <c r="A31" s="74">
        <v>740</v>
      </c>
      <c r="B31" s="75" t="s">
        <v>309</v>
      </c>
      <c r="C31" s="75">
        <v>2010</v>
      </c>
      <c r="D31" s="75" t="s">
        <v>46</v>
      </c>
      <c r="E31" s="75">
        <v>2014</v>
      </c>
      <c r="F31" s="75" t="s">
        <v>323</v>
      </c>
      <c r="G31" s="76">
        <v>12000</v>
      </c>
      <c r="H31" s="77" t="s">
        <v>244</v>
      </c>
      <c r="I31" s="78" t="s">
        <v>41</v>
      </c>
      <c r="J31" s="79">
        <v>7</v>
      </c>
      <c r="K31" s="79">
        <v>920</v>
      </c>
      <c r="L31" s="79">
        <v>154.63999999999999</v>
      </c>
      <c r="M31" s="89"/>
      <c r="N31" s="168">
        <f>G31*L31</f>
        <v>1855679.9999999998</v>
      </c>
      <c r="O31" s="80">
        <v>41653</v>
      </c>
      <c r="P31" s="69"/>
      <c r="Q31" s="69"/>
      <c r="R31" s="69"/>
      <c r="S31" s="69"/>
      <c r="T31" s="69"/>
      <c r="U31" s="69"/>
      <c r="V31" s="69"/>
      <c r="W31" s="69"/>
    </row>
    <row r="32" spans="1:23" s="72" customFormat="1" ht="37.5" customHeight="1" x14ac:dyDescent="0.25">
      <c r="A32" s="74">
        <v>741</v>
      </c>
      <c r="B32" s="75" t="s">
        <v>310</v>
      </c>
      <c r="C32" s="75">
        <v>2007</v>
      </c>
      <c r="D32" s="75" t="s">
        <v>46</v>
      </c>
      <c r="E32" s="75">
        <v>2014</v>
      </c>
      <c r="F32" s="75" t="s">
        <v>323</v>
      </c>
      <c r="G32" s="76">
        <v>12000</v>
      </c>
      <c r="H32" s="77" t="s">
        <v>244</v>
      </c>
      <c r="I32" s="78" t="s">
        <v>41</v>
      </c>
      <c r="J32" s="79">
        <v>8</v>
      </c>
      <c r="K32" s="79">
        <v>921</v>
      </c>
      <c r="L32" s="79">
        <v>154.63999999999999</v>
      </c>
      <c r="M32" s="89"/>
      <c r="N32" s="168">
        <f>G32*L32</f>
        <v>1855679.9999999998</v>
      </c>
      <c r="O32" s="80">
        <v>41653</v>
      </c>
      <c r="P32" s="69"/>
      <c r="Q32" s="69"/>
      <c r="R32" s="69"/>
      <c r="S32" s="69"/>
      <c r="T32" s="69"/>
      <c r="U32" s="69"/>
      <c r="V32" s="69"/>
      <c r="W32" s="69"/>
    </row>
    <row r="33" spans="1:23" s="72" customFormat="1" ht="43.2" customHeight="1" x14ac:dyDescent="0.25">
      <c r="A33" s="74">
        <v>742</v>
      </c>
      <c r="B33" s="75" t="s">
        <v>311</v>
      </c>
      <c r="C33" s="75">
        <v>2001</v>
      </c>
      <c r="D33" s="75" t="s">
        <v>46</v>
      </c>
      <c r="E33" s="75">
        <v>2014</v>
      </c>
      <c r="F33" s="75" t="s">
        <v>324</v>
      </c>
      <c r="G33" s="76">
        <f>N33/L33</f>
        <v>5320.759182617694</v>
      </c>
      <c r="H33" s="77" t="s">
        <v>325</v>
      </c>
      <c r="I33" s="78" t="s">
        <v>41</v>
      </c>
      <c r="J33" s="79">
        <v>9</v>
      </c>
      <c r="K33" s="79">
        <v>922</v>
      </c>
      <c r="L33" s="79">
        <v>154.63999999999999</v>
      </c>
      <c r="M33" s="79">
        <v>211.3</v>
      </c>
      <c r="N33" s="168">
        <f>3894*M33</f>
        <v>822802.20000000007</v>
      </c>
      <c r="O33" s="80">
        <v>41653</v>
      </c>
      <c r="P33" s="69"/>
      <c r="Q33" s="69"/>
      <c r="R33" s="69"/>
      <c r="S33" s="69"/>
      <c r="T33" s="69"/>
      <c r="U33" s="69"/>
      <c r="V33" s="69"/>
      <c r="W33" s="69"/>
    </row>
    <row r="34" spans="1:23" s="72" customFormat="1" ht="43.5" customHeight="1" x14ac:dyDescent="0.25">
      <c r="A34" s="74">
        <v>743</v>
      </c>
      <c r="B34" s="75" t="s">
        <v>312</v>
      </c>
      <c r="C34" s="75">
        <v>2011</v>
      </c>
      <c r="D34" s="75" t="s">
        <v>46</v>
      </c>
      <c r="E34" s="75">
        <v>2014</v>
      </c>
      <c r="F34" s="75" t="s">
        <v>324</v>
      </c>
      <c r="G34" s="76">
        <v>3225</v>
      </c>
      <c r="H34" s="77" t="s">
        <v>326</v>
      </c>
      <c r="I34" s="78" t="s">
        <v>41</v>
      </c>
      <c r="J34" s="79">
        <v>10</v>
      </c>
      <c r="K34" s="79">
        <v>923</v>
      </c>
      <c r="L34" s="79">
        <v>154.63999999999999</v>
      </c>
      <c r="M34" s="79">
        <v>211.3</v>
      </c>
      <c r="N34" s="168">
        <f>2360*M34</f>
        <v>498668</v>
      </c>
      <c r="O34" s="80">
        <v>41653</v>
      </c>
      <c r="P34" s="69"/>
      <c r="Q34" s="69"/>
      <c r="R34" s="69"/>
      <c r="S34" s="69"/>
      <c r="T34" s="69"/>
      <c r="U34" s="69"/>
      <c r="V34" s="69"/>
      <c r="W34" s="69"/>
    </row>
    <row r="35" spans="1:23" s="9" customFormat="1" ht="38.25" customHeight="1" x14ac:dyDescent="0.25">
      <c r="A35" s="74">
        <v>744</v>
      </c>
      <c r="B35" s="75" t="s">
        <v>313</v>
      </c>
      <c r="C35" s="75">
        <v>2003</v>
      </c>
      <c r="D35" s="75" t="s">
        <v>46</v>
      </c>
      <c r="E35" s="75">
        <v>2014</v>
      </c>
      <c r="F35" s="75" t="s">
        <v>1333</v>
      </c>
      <c r="G35" s="76">
        <v>5051</v>
      </c>
      <c r="H35" s="77" t="s">
        <v>327</v>
      </c>
      <c r="I35" s="78" t="s">
        <v>41</v>
      </c>
      <c r="J35" s="79">
        <v>11</v>
      </c>
      <c r="K35" s="79">
        <v>924</v>
      </c>
      <c r="L35" s="79">
        <v>154.63999999999999</v>
      </c>
      <c r="M35" s="79">
        <v>4.67</v>
      </c>
      <c r="N35" s="168">
        <f>167250*M35</f>
        <v>781057.5</v>
      </c>
      <c r="O35" s="80">
        <v>41653</v>
      </c>
      <c r="P35" s="69"/>
      <c r="Q35" s="69"/>
      <c r="R35" s="69"/>
      <c r="S35" s="69"/>
      <c r="T35" s="69"/>
      <c r="U35" s="69"/>
      <c r="V35" s="69"/>
      <c r="W35" s="69"/>
    </row>
    <row r="36" spans="1:23" s="72" customFormat="1" ht="30" customHeight="1" x14ac:dyDescent="0.25">
      <c r="A36" s="74"/>
      <c r="B36" s="75" t="s">
        <v>172</v>
      </c>
      <c r="C36" s="75">
        <v>2011</v>
      </c>
      <c r="D36" s="75" t="s">
        <v>46</v>
      </c>
      <c r="E36" s="75" t="s">
        <v>269</v>
      </c>
      <c r="F36" s="75" t="s">
        <v>1334</v>
      </c>
      <c r="G36" s="76">
        <v>3074</v>
      </c>
      <c r="H36" s="77" t="s">
        <v>314</v>
      </c>
      <c r="I36" s="78" t="s">
        <v>41</v>
      </c>
      <c r="J36" s="79">
        <v>12</v>
      </c>
      <c r="K36" s="79">
        <v>925</v>
      </c>
      <c r="L36" s="79">
        <v>154.63999999999999</v>
      </c>
      <c r="M36" s="79">
        <v>4.67</v>
      </c>
      <c r="N36" s="168">
        <f>101800*M36</f>
        <v>475406</v>
      </c>
      <c r="O36" s="80">
        <v>41653</v>
      </c>
      <c r="P36" s="69"/>
      <c r="Q36" s="69"/>
      <c r="R36" s="69"/>
      <c r="S36" s="69"/>
      <c r="T36" s="69"/>
      <c r="U36" s="69"/>
      <c r="V36" s="69"/>
      <c r="W36" s="69"/>
    </row>
    <row r="37" spans="1:23" s="72" customFormat="1" ht="30" customHeight="1" x14ac:dyDescent="0.25">
      <c r="A37" s="74"/>
      <c r="B37" s="75" t="s">
        <v>171</v>
      </c>
      <c r="C37" s="75">
        <v>2011</v>
      </c>
      <c r="D37" s="75" t="s">
        <v>46</v>
      </c>
      <c r="E37" s="75" t="s">
        <v>269</v>
      </c>
      <c r="F37" s="75" t="s">
        <v>1334</v>
      </c>
      <c r="G37" s="76">
        <v>3056</v>
      </c>
      <c r="H37" s="77" t="s">
        <v>315</v>
      </c>
      <c r="I37" s="78" t="s">
        <v>41</v>
      </c>
      <c r="J37" s="79">
        <v>13</v>
      </c>
      <c r="K37" s="79">
        <v>926</v>
      </c>
      <c r="L37" s="79">
        <v>154.63999999999999</v>
      </c>
      <c r="M37" s="79">
        <v>4.67</v>
      </c>
      <c r="N37" s="168">
        <f>101200*M37</f>
        <v>472604</v>
      </c>
      <c r="O37" s="80">
        <v>41653</v>
      </c>
      <c r="P37" s="69"/>
      <c r="Q37" s="69"/>
      <c r="R37" s="69"/>
      <c r="S37" s="69"/>
      <c r="T37" s="69"/>
      <c r="U37" s="69"/>
      <c r="V37" s="69"/>
      <c r="W37" s="69"/>
    </row>
    <row r="38" spans="1:23" s="9" customFormat="1" ht="33.75" customHeight="1" x14ac:dyDescent="0.25">
      <c r="A38" s="74"/>
      <c r="B38" s="75" t="s">
        <v>229</v>
      </c>
      <c r="C38" s="75">
        <v>2011</v>
      </c>
      <c r="D38" s="75" t="s">
        <v>329</v>
      </c>
      <c r="E38" s="75" t="s">
        <v>23</v>
      </c>
      <c r="F38" s="75" t="s">
        <v>330</v>
      </c>
      <c r="G38" s="79">
        <v>326</v>
      </c>
      <c r="H38" s="77" t="s">
        <v>316</v>
      </c>
      <c r="I38" s="78" t="s">
        <v>41</v>
      </c>
      <c r="J38" s="89"/>
      <c r="K38" s="89"/>
      <c r="L38" s="79">
        <v>154.99</v>
      </c>
      <c r="M38" s="79">
        <v>4.6500000000000004</v>
      </c>
      <c r="N38" s="168">
        <f>10880*M38</f>
        <v>50592.000000000007</v>
      </c>
      <c r="O38" s="80">
        <v>41655</v>
      </c>
      <c r="P38" s="69"/>
      <c r="Q38" s="69"/>
      <c r="R38" s="69"/>
      <c r="S38" s="69"/>
      <c r="T38" s="69"/>
      <c r="U38" s="69"/>
      <c r="V38" s="69"/>
      <c r="W38" s="69"/>
    </row>
    <row r="39" spans="1:23" s="70" customFormat="1" ht="39" customHeight="1" x14ac:dyDescent="0.25">
      <c r="A39" s="74"/>
      <c r="B39" s="75" t="s">
        <v>216</v>
      </c>
      <c r="C39" s="75">
        <v>2006</v>
      </c>
      <c r="D39" s="75" t="s">
        <v>46</v>
      </c>
      <c r="E39" s="75" t="s">
        <v>269</v>
      </c>
      <c r="F39" s="75" t="s">
        <v>100</v>
      </c>
      <c r="G39" s="90">
        <f>N39/L39</f>
        <v>2438.796934372383</v>
      </c>
      <c r="H39" s="77" t="s">
        <v>1310</v>
      </c>
      <c r="I39" s="78" t="s">
        <v>41</v>
      </c>
      <c r="J39" s="77">
        <v>14</v>
      </c>
      <c r="K39" s="77">
        <v>927</v>
      </c>
      <c r="L39" s="79">
        <v>155.27000000000001</v>
      </c>
      <c r="M39" s="79">
        <v>4.5999999999999996</v>
      </c>
      <c r="N39" s="168">
        <f>82320*M39</f>
        <v>378671.99999999994</v>
      </c>
      <c r="O39" s="91">
        <v>41660</v>
      </c>
      <c r="P39" s="69"/>
      <c r="Q39" s="69"/>
      <c r="R39" s="69"/>
      <c r="S39" s="69"/>
      <c r="T39" s="69"/>
      <c r="U39" s="69"/>
      <c r="V39" s="69"/>
      <c r="W39" s="69"/>
    </row>
    <row r="40" spans="1:23" s="70" customFormat="1" ht="42" customHeight="1" x14ac:dyDescent="0.25">
      <c r="A40" s="74"/>
      <c r="B40" s="75" t="s">
        <v>173</v>
      </c>
      <c r="C40" s="85">
        <v>2005</v>
      </c>
      <c r="D40" s="85" t="s">
        <v>331</v>
      </c>
      <c r="E40" s="75" t="s">
        <v>301</v>
      </c>
      <c r="F40" s="75" t="s">
        <v>13</v>
      </c>
      <c r="G40" s="90">
        <f>N40/L40</f>
        <v>810.2659882784825</v>
      </c>
      <c r="H40" s="77" t="s">
        <v>1290</v>
      </c>
      <c r="I40" s="78" t="s">
        <v>41</v>
      </c>
      <c r="J40" s="77">
        <v>15</v>
      </c>
      <c r="K40" s="77">
        <v>928</v>
      </c>
      <c r="L40" s="79">
        <v>155.27000000000001</v>
      </c>
      <c r="M40" s="79">
        <v>4.5999999999999996</v>
      </c>
      <c r="N40" s="168">
        <f>27350*M40</f>
        <v>125809.99999999999</v>
      </c>
      <c r="O40" s="91">
        <v>41660</v>
      </c>
      <c r="P40" s="69"/>
      <c r="Q40" s="69"/>
      <c r="R40" s="69"/>
      <c r="S40" s="69"/>
      <c r="T40" s="69"/>
      <c r="U40" s="69"/>
      <c r="V40" s="69"/>
      <c r="W40" s="69"/>
    </row>
    <row r="41" spans="1:23" s="72" customFormat="1" ht="42" customHeight="1" x14ac:dyDescent="0.25">
      <c r="A41" s="74"/>
      <c r="B41" s="75" t="s">
        <v>51</v>
      </c>
      <c r="C41" s="85">
        <v>2012</v>
      </c>
      <c r="D41" s="85" t="s">
        <v>332</v>
      </c>
      <c r="E41" s="75" t="s">
        <v>301</v>
      </c>
      <c r="F41" s="75" t="s">
        <v>333</v>
      </c>
      <c r="G41" s="90">
        <f>N41/L41</f>
        <v>1987.7141017385704</v>
      </c>
      <c r="H41" s="77" t="s">
        <v>334</v>
      </c>
      <c r="I41" s="78" t="s">
        <v>41</v>
      </c>
      <c r="J41" s="77">
        <v>16</v>
      </c>
      <c r="K41" s="77">
        <v>929</v>
      </c>
      <c r="L41" s="79">
        <v>155.30000000000001</v>
      </c>
      <c r="M41" s="79">
        <v>4.58</v>
      </c>
      <c r="N41" s="168">
        <f>67400*M41</f>
        <v>308692</v>
      </c>
      <c r="O41" s="91">
        <v>41661</v>
      </c>
      <c r="P41" s="69"/>
      <c r="Q41" s="69"/>
      <c r="R41" s="69"/>
      <c r="S41" s="69"/>
      <c r="T41" s="69"/>
      <c r="U41" s="69"/>
      <c r="V41" s="69"/>
      <c r="W41" s="69"/>
    </row>
    <row r="42" spans="1:23" s="72" customFormat="1" ht="42" customHeight="1" x14ac:dyDescent="0.25">
      <c r="A42" s="74">
        <v>745</v>
      </c>
      <c r="B42" s="75" t="s">
        <v>335</v>
      </c>
      <c r="C42" s="85">
        <v>2013</v>
      </c>
      <c r="D42" s="85" t="s">
        <v>336</v>
      </c>
      <c r="E42" s="85">
        <v>2014</v>
      </c>
      <c r="F42" s="75" t="s">
        <v>333</v>
      </c>
      <c r="G42" s="90">
        <f>N42/L42</f>
        <v>722.53702511268511</v>
      </c>
      <c r="H42" s="77" t="s">
        <v>337</v>
      </c>
      <c r="I42" s="92" t="s">
        <v>429</v>
      </c>
      <c r="J42" s="77">
        <v>17</v>
      </c>
      <c r="K42" s="77">
        <v>930</v>
      </c>
      <c r="L42" s="79">
        <v>155.30000000000001</v>
      </c>
      <c r="M42" s="79">
        <v>4.58</v>
      </c>
      <c r="N42" s="168">
        <f>24500*M42</f>
        <v>112210</v>
      </c>
      <c r="O42" s="91">
        <v>41661</v>
      </c>
      <c r="P42" s="69"/>
      <c r="Q42" s="69"/>
      <c r="R42" s="69"/>
      <c r="S42" s="69"/>
      <c r="T42" s="69"/>
      <c r="U42" s="69"/>
      <c r="V42" s="69"/>
      <c r="W42" s="69"/>
    </row>
    <row r="43" spans="1:23" s="9" customFormat="1" ht="38.4" customHeight="1" x14ac:dyDescent="0.25">
      <c r="A43" s="74">
        <v>746</v>
      </c>
      <c r="B43" s="75" t="s">
        <v>256</v>
      </c>
      <c r="C43" s="85">
        <v>2008</v>
      </c>
      <c r="D43" s="85" t="s">
        <v>46</v>
      </c>
      <c r="E43" s="85">
        <v>2014</v>
      </c>
      <c r="F43" s="93" t="s">
        <v>257</v>
      </c>
      <c r="G43" s="90">
        <v>11500</v>
      </c>
      <c r="H43" s="77" t="s">
        <v>271</v>
      </c>
      <c r="I43" s="78" t="s">
        <v>41</v>
      </c>
      <c r="J43" s="77">
        <v>18</v>
      </c>
      <c r="K43" s="77">
        <v>931</v>
      </c>
      <c r="L43" s="79">
        <v>155.13999999999999</v>
      </c>
      <c r="M43" s="79"/>
      <c r="N43" s="168">
        <f>G43*L43</f>
        <v>1784109.9999999998</v>
      </c>
      <c r="O43" s="91">
        <v>41662</v>
      </c>
      <c r="P43" s="69"/>
      <c r="Q43" s="69"/>
      <c r="R43" s="69"/>
      <c r="S43" s="69"/>
      <c r="T43" s="69"/>
      <c r="U43" s="69"/>
      <c r="V43" s="69"/>
      <c r="W43" s="69"/>
    </row>
    <row r="44" spans="1:23" s="9" customFormat="1" ht="32.25" customHeight="1" x14ac:dyDescent="0.25">
      <c r="A44" s="74"/>
      <c r="B44" s="75" t="s">
        <v>252</v>
      </c>
      <c r="C44" s="85">
        <v>2008</v>
      </c>
      <c r="D44" s="85" t="s">
        <v>46</v>
      </c>
      <c r="E44" s="85" t="s">
        <v>272</v>
      </c>
      <c r="F44" s="93" t="s">
        <v>240</v>
      </c>
      <c r="G44" s="90">
        <v>4986</v>
      </c>
      <c r="H44" s="77" t="s">
        <v>1236</v>
      </c>
      <c r="I44" s="78" t="s">
        <v>41</v>
      </c>
      <c r="J44" s="77"/>
      <c r="K44" s="77"/>
      <c r="L44" s="79">
        <v>155.1</v>
      </c>
      <c r="M44" s="79"/>
      <c r="N44" s="168">
        <f>G44*L44</f>
        <v>773328.6</v>
      </c>
      <c r="O44" s="91">
        <v>41663</v>
      </c>
      <c r="P44" s="69"/>
      <c r="Q44" s="69"/>
      <c r="R44" s="69"/>
      <c r="S44" s="69"/>
      <c r="T44" s="69"/>
      <c r="U44" s="69"/>
      <c r="V44" s="69"/>
      <c r="W44" s="69"/>
    </row>
    <row r="45" spans="1:23" s="9" customFormat="1" ht="42" customHeight="1" x14ac:dyDescent="0.25">
      <c r="A45" s="74">
        <v>747</v>
      </c>
      <c r="B45" s="75" t="s">
        <v>259</v>
      </c>
      <c r="C45" s="85">
        <v>2011</v>
      </c>
      <c r="D45" s="85" t="s">
        <v>46</v>
      </c>
      <c r="E45" s="85">
        <v>2014</v>
      </c>
      <c r="F45" s="75" t="s">
        <v>162</v>
      </c>
      <c r="G45" s="90">
        <f>135250*M45/L45</f>
        <v>3887.4460269381971</v>
      </c>
      <c r="H45" s="77" t="s">
        <v>262</v>
      </c>
      <c r="I45" s="78" t="s">
        <v>41</v>
      </c>
      <c r="J45" s="77">
        <v>19</v>
      </c>
      <c r="K45" s="77">
        <v>932</v>
      </c>
      <c r="L45" s="79">
        <v>155.16999999999999</v>
      </c>
      <c r="M45" s="79">
        <v>4.46</v>
      </c>
      <c r="N45" s="168">
        <f>135250*M45</f>
        <v>603215</v>
      </c>
      <c r="O45" s="91">
        <v>41667</v>
      </c>
      <c r="P45" s="69"/>
      <c r="Q45" s="69"/>
      <c r="R45" s="69"/>
      <c r="S45" s="69"/>
      <c r="T45" s="69"/>
      <c r="U45" s="69"/>
      <c r="V45" s="69"/>
      <c r="W45" s="69"/>
    </row>
    <row r="46" spans="1:23" s="9" customFormat="1" ht="86.4" customHeight="1" x14ac:dyDescent="0.25">
      <c r="A46" s="74"/>
      <c r="B46" s="75" t="s">
        <v>164</v>
      </c>
      <c r="C46" s="75">
        <v>2007</v>
      </c>
      <c r="D46" s="75" t="s">
        <v>46</v>
      </c>
      <c r="E46" s="75" t="s">
        <v>269</v>
      </c>
      <c r="F46" s="75" t="s">
        <v>165</v>
      </c>
      <c r="G46" s="90">
        <f>70850*M46/L46</f>
        <v>2036.4181220596765</v>
      </c>
      <c r="H46" s="77" t="s">
        <v>212</v>
      </c>
      <c r="I46" s="78" t="s">
        <v>41</v>
      </c>
      <c r="J46" s="77">
        <v>20</v>
      </c>
      <c r="K46" s="77">
        <v>933</v>
      </c>
      <c r="L46" s="79">
        <v>155.16999999999999</v>
      </c>
      <c r="M46" s="79">
        <v>4.46</v>
      </c>
      <c r="N46" s="168">
        <f>70850*M46</f>
        <v>315991</v>
      </c>
      <c r="O46" s="91">
        <v>41667</v>
      </c>
      <c r="P46" s="69"/>
      <c r="Q46" s="69"/>
      <c r="R46" s="69"/>
      <c r="S46" s="69"/>
      <c r="T46" s="69"/>
      <c r="U46" s="69"/>
      <c r="V46" s="69"/>
      <c r="W46" s="69"/>
    </row>
    <row r="47" spans="1:23" s="72" customFormat="1" ht="67.5" customHeight="1" x14ac:dyDescent="0.25">
      <c r="A47" s="74">
        <v>748</v>
      </c>
      <c r="B47" s="75" t="s">
        <v>260</v>
      </c>
      <c r="C47" s="85">
        <v>2005</v>
      </c>
      <c r="D47" s="85" t="s">
        <v>46</v>
      </c>
      <c r="E47" s="85">
        <v>2014</v>
      </c>
      <c r="F47" s="93" t="s">
        <v>40</v>
      </c>
      <c r="G47" s="90">
        <f>3894*M47/L47</f>
        <v>5332.9505703422055</v>
      </c>
      <c r="H47" s="77" t="s">
        <v>247</v>
      </c>
      <c r="I47" s="78" t="s">
        <v>41</v>
      </c>
      <c r="J47" s="77">
        <v>21</v>
      </c>
      <c r="K47" s="77">
        <v>934</v>
      </c>
      <c r="L47" s="79">
        <v>155.16999999999999</v>
      </c>
      <c r="M47" s="79">
        <v>212.51</v>
      </c>
      <c r="N47" s="168">
        <f>3894*M47</f>
        <v>827513.94</v>
      </c>
      <c r="O47" s="91">
        <v>41667</v>
      </c>
      <c r="P47" s="69"/>
      <c r="Q47" s="69"/>
      <c r="R47" s="69"/>
      <c r="S47" s="69"/>
      <c r="T47" s="69"/>
      <c r="U47" s="69"/>
      <c r="V47" s="69"/>
      <c r="W47" s="69"/>
    </row>
    <row r="48" spans="1:23" s="9" customFormat="1" ht="64.2" customHeight="1" x14ac:dyDescent="0.25">
      <c r="A48" s="74">
        <v>749</v>
      </c>
      <c r="B48" s="75" t="s">
        <v>338</v>
      </c>
      <c r="C48" s="75">
        <v>2009</v>
      </c>
      <c r="D48" s="156" t="s">
        <v>339</v>
      </c>
      <c r="E48" s="85">
        <v>2014</v>
      </c>
      <c r="F48" s="94" t="s">
        <v>340</v>
      </c>
      <c r="G48" s="90">
        <v>16000</v>
      </c>
      <c r="H48" s="77" t="s">
        <v>341</v>
      </c>
      <c r="I48" s="95" t="s">
        <v>1187</v>
      </c>
      <c r="J48" s="77">
        <v>22</v>
      </c>
      <c r="K48" s="77">
        <v>935</v>
      </c>
      <c r="L48" s="79">
        <v>155.16999999999999</v>
      </c>
      <c r="M48" s="79"/>
      <c r="N48" s="168">
        <f>G48*L48</f>
        <v>2482720</v>
      </c>
      <c r="O48" s="91">
        <v>41667</v>
      </c>
      <c r="P48" s="69"/>
      <c r="Q48" s="69"/>
      <c r="R48" s="69"/>
      <c r="S48" s="69"/>
      <c r="T48" s="69"/>
      <c r="U48" s="69"/>
      <c r="V48" s="69"/>
      <c r="W48" s="69"/>
    </row>
    <row r="49" spans="1:23" s="9" customFormat="1" ht="34.200000000000003" customHeight="1" x14ac:dyDescent="0.25">
      <c r="A49" s="74"/>
      <c r="B49" s="85" t="s">
        <v>147</v>
      </c>
      <c r="C49" s="75">
        <v>2011</v>
      </c>
      <c r="D49" s="78" t="s">
        <v>28</v>
      </c>
      <c r="E49" s="85" t="s">
        <v>301</v>
      </c>
      <c r="F49" s="94" t="s">
        <v>342</v>
      </c>
      <c r="G49" s="90">
        <v>6943</v>
      </c>
      <c r="H49" s="77" t="s">
        <v>343</v>
      </c>
      <c r="I49" s="92" t="s">
        <v>430</v>
      </c>
      <c r="J49" s="77">
        <v>23</v>
      </c>
      <c r="K49" s="77">
        <v>936</v>
      </c>
      <c r="L49" s="79">
        <v>155.35</v>
      </c>
      <c r="M49" s="79">
        <v>4.5</v>
      </c>
      <c r="N49" s="168">
        <f>239695*M49</f>
        <v>1078627.5</v>
      </c>
      <c r="O49" s="91">
        <v>41668</v>
      </c>
      <c r="P49" s="69"/>
      <c r="Q49" s="69"/>
      <c r="R49" s="69"/>
      <c r="S49" s="69"/>
      <c r="T49" s="69"/>
      <c r="U49" s="69"/>
      <c r="V49" s="69"/>
      <c r="W49" s="69"/>
    </row>
    <row r="50" spans="1:23" s="9" customFormat="1" ht="43.95" customHeight="1" x14ac:dyDescent="0.25">
      <c r="A50" s="74"/>
      <c r="B50" s="85" t="s">
        <v>105</v>
      </c>
      <c r="C50" s="94">
        <v>2008</v>
      </c>
      <c r="D50" s="94" t="s">
        <v>46</v>
      </c>
      <c r="E50" s="75" t="s">
        <v>269</v>
      </c>
      <c r="F50" s="94" t="s">
        <v>106</v>
      </c>
      <c r="G50" s="90">
        <f>55750*M50/L50</f>
        <v>1599.0032154340836</v>
      </c>
      <c r="H50" s="77" t="s">
        <v>107</v>
      </c>
      <c r="I50" s="78" t="s">
        <v>41</v>
      </c>
      <c r="J50" s="77">
        <v>24</v>
      </c>
      <c r="K50" s="77">
        <v>937</v>
      </c>
      <c r="L50" s="79">
        <v>155.5</v>
      </c>
      <c r="M50" s="79">
        <v>4.46</v>
      </c>
      <c r="N50" s="168">
        <f>55750*M50</f>
        <v>248645</v>
      </c>
      <c r="O50" s="91">
        <v>41669</v>
      </c>
      <c r="P50" s="69"/>
      <c r="Q50" s="69"/>
      <c r="R50" s="69"/>
      <c r="S50" s="69"/>
      <c r="T50" s="69"/>
      <c r="U50" s="69"/>
      <c r="V50" s="69"/>
      <c r="W50" s="69"/>
    </row>
    <row r="51" spans="1:23" s="72" customFormat="1" ht="42" customHeight="1" x14ac:dyDescent="0.25">
      <c r="A51" s="74">
        <v>750</v>
      </c>
      <c r="B51" s="75" t="s">
        <v>261</v>
      </c>
      <c r="C51" s="85">
        <v>2007</v>
      </c>
      <c r="D51" s="85" t="s">
        <v>46</v>
      </c>
      <c r="E51" s="85">
        <v>2014</v>
      </c>
      <c r="F51" s="75" t="s">
        <v>100</v>
      </c>
      <c r="G51" s="90">
        <f>101350*M51/L51</f>
        <v>2906.8874598070738</v>
      </c>
      <c r="H51" s="77" t="s">
        <v>263</v>
      </c>
      <c r="I51" s="78" t="s">
        <v>41</v>
      </c>
      <c r="J51" s="77">
        <v>25</v>
      </c>
      <c r="K51" s="77">
        <v>938</v>
      </c>
      <c r="L51" s="79">
        <v>155.5</v>
      </c>
      <c r="M51" s="79">
        <v>4.46</v>
      </c>
      <c r="N51" s="168">
        <f>101350*M51</f>
        <v>452021</v>
      </c>
      <c r="O51" s="91">
        <v>41669</v>
      </c>
      <c r="P51" s="69"/>
      <c r="Q51" s="69"/>
      <c r="R51" s="69"/>
      <c r="S51" s="69"/>
      <c r="T51" s="69"/>
      <c r="U51" s="69"/>
      <c r="V51" s="69"/>
      <c r="W51" s="69"/>
    </row>
    <row r="52" spans="1:23" s="9" customFormat="1" ht="42" customHeight="1" x14ac:dyDescent="0.25">
      <c r="A52" s="74">
        <v>751</v>
      </c>
      <c r="B52" s="75" t="s">
        <v>265</v>
      </c>
      <c r="C52" s="85">
        <v>2010</v>
      </c>
      <c r="D52" s="85" t="s">
        <v>46</v>
      </c>
      <c r="E52" s="85">
        <v>2014</v>
      </c>
      <c r="F52" s="85" t="s">
        <v>266</v>
      </c>
      <c r="G52" s="90">
        <f>137500*M52/L52</f>
        <v>3943.7299035369774</v>
      </c>
      <c r="H52" s="77" t="s">
        <v>264</v>
      </c>
      <c r="I52" s="78" t="s">
        <v>41</v>
      </c>
      <c r="J52" s="77">
        <v>26</v>
      </c>
      <c r="K52" s="77">
        <v>939</v>
      </c>
      <c r="L52" s="79">
        <v>155.5</v>
      </c>
      <c r="M52" s="79">
        <v>4.46</v>
      </c>
      <c r="N52" s="168">
        <f>137500*M52</f>
        <v>613250</v>
      </c>
      <c r="O52" s="91">
        <v>41669</v>
      </c>
      <c r="P52" s="69"/>
      <c r="Q52" s="69"/>
      <c r="R52" s="69"/>
      <c r="S52" s="69"/>
      <c r="T52" s="69"/>
      <c r="U52" s="69"/>
      <c r="V52" s="69"/>
      <c r="W52" s="69"/>
    </row>
    <row r="53" spans="1:23" s="70" customFormat="1" ht="43.2" customHeight="1" x14ac:dyDescent="0.25">
      <c r="A53" s="74">
        <v>752</v>
      </c>
      <c r="B53" s="75" t="s">
        <v>344</v>
      </c>
      <c r="C53" s="85">
        <v>2000</v>
      </c>
      <c r="D53" s="85" t="s">
        <v>345</v>
      </c>
      <c r="E53" s="85">
        <v>2014</v>
      </c>
      <c r="F53" s="96" t="s">
        <v>346</v>
      </c>
      <c r="G53" s="90">
        <f>N53/L53</f>
        <v>5639.9639871382642</v>
      </c>
      <c r="H53" s="77" t="s">
        <v>1306</v>
      </c>
      <c r="I53" s="78" t="s">
        <v>428</v>
      </c>
      <c r="J53" s="77">
        <v>27</v>
      </c>
      <c r="K53" s="77">
        <v>940</v>
      </c>
      <c r="L53" s="79">
        <v>155.5</v>
      </c>
      <c r="M53" s="79">
        <v>4.46</v>
      </c>
      <c r="N53" s="168">
        <f>196640*M53</f>
        <v>877014.4</v>
      </c>
      <c r="O53" s="91">
        <v>41669</v>
      </c>
      <c r="P53" s="69"/>
      <c r="Q53" s="69"/>
      <c r="R53" s="69"/>
      <c r="S53" s="69"/>
      <c r="T53" s="69"/>
      <c r="U53" s="69"/>
      <c r="V53" s="69"/>
      <c r="W53" s="69"/>
    </row>
    <row r="54" spans="1:23" s="9" customFormat="1" ht="44.4" customHeight="1" x14ac:dyDescent="0.25">
      <c r="A54" s="74"/>
      <c r="B54" s="75" t="s">
        <v>15</v>
      </c>
      <c r="C54" s="85">
        <v>2010</v>
      </c>
      <c r="D54" s="85" t="s">
        <v>320</v>
      </c>
      <c r="E54" s="85">
        <v>2014</v>
      </c>
      <c r="F54" s="75" t="s">
        <v>240</v>
      </c>
      <c r="G54" s="90">
        <v>7000</v>
      </c>
      <c r="H54" s="77" t="s">
        <v>213</v>
      </c>
      <c r="I54" s="78" t="s">
        <v>48</v>
      </c>
      <c r="J54" s="77">
        <v>28</v>
      </c>
      <c r="K54" s="77">
        <v>941</v>
      </c>
      <c r="L54" s="79">
        <v>155.5</v>
      </c>
      <c r="M54" s="79"/>
      <c r="N54" s="168">
        <f>G54*L54</f>
        <v>1088500</v>
      </c>
      <c r="O54" s="91">
        <v>41673</v>
      </c>
      <c r="P54" s="69"/>
      <c r="Q54" s="69"/>
      <c r="R54" s="69"/>
      <c r="S54" s="69"/>
      <c r="T54" s="69"/>
      <c r="U54" s="69"/>
      <c r="V54" s="69"/>
      <c r="W54" s="69"/>
    </row>
    <row r="55" spans="1:23" s="69" customFormat="1" ht="64.95" customHeight="1" x14ac:dyDescent="0.25">
      <c r="A55" s="74"/>
      <c r="B55" s="75" t="s">
        <v>21</v>
      </c>
      <c r="C55" s="85">
        <v>2010</v>
      </c>
      <c r="D55" s="85" t="s">
        <v>22</v>
      </c>
      <c r="E55" s="85" t="s">
        <v>347</v>
      </c>
      <c r="F55" s="75" t="s">
        <v>348</v>
      </c>
      <c r="G55" s="90">
        <v>1933</v>
      </c>
      <c r="H55" s="77" t="s">
        <v>349</v>
      </c>
      <c r="I55" s="95" t="s">
        <v>1187</v>
      </c>
      <c r="J55" s="77">
        <v>29</v>
      </c>
      <c r="K55" s="77">
        <v>942</v>
      </c>
      <c r="L55" s="79">
        <v>155.63</v>
      </c>
      <c r="M55" s="79">
        <v>4.4000000000000004</v>
      </c>
      <c r="N55" s="168">
        <f>68360*M55</f>
        <v>300784</v>
      </c>
      <c r="O55" s="91">
        <v>41675</v>
      </c>
      <c r="P55" s="234"/>
      <c r="Q55" s="235"/>
    </row>
    <row r="56" spans="1:23" s="69" customFormat="1" ht="65.400000000000006" customHeight="1" x14ac:dyDescent="0.25">
      <c r="A56" s="74">
        <v>753</v>
      </c>
      <c r="B56" s="75" t="s">
        <v>350</v>
      </c>
      <c r="C56" s="85">
        <v>2005</v>
      </c>
      <c r="D56" s="155" t="s">
        <v>351</v>
      </c>
      <c r="E56" s="85">
        <v>2014</v>
      </c>
      <c r="F56" s="75" t="s">
        <v>352</v>
      </c>
      <c r="G56" s="90">
        <f>N56/L56</f>
        <v>3999.9419938315236</v>
      </c>
      <c r="H56" s="97" t="s">
        <v>1237</v>
      </c>
      <c r="I56" s="95" t="s">
        <v>1187</v>
      </c>
      <c r="J56" s="77">
        <v>30</v>
      </c>
      <c r="K56" s="77">
        <v>943</v>
      </c>
      <c r="L56" s="79">
        <v>155.63</v>
      </c>
      <c r="M56" s="79">
        <v>210.29</v>
      </c>
      <c r="N56" s="168">
        <f>2960.25*M56</f>
        <v>622510.97250000003</v>
      </c>
      <c r="O56" s="91">
        <v>41675</v>
      </c>
    </row>
    <row r="57" spans="1:23" s="70" customFormat="1" ht="55.5" customHeight="1" x14ac:dyDescent="0.25">
      <c r="A57" s="74">
        <v>754</v>
      </c>
      <c r="B57" s="75" t="s">
        <v>353</v>
      </c>
      <c r="C57" s="85">
        <v>2011</v>
      </c>
      <c r="D57" s="155" t="s">
        <v>354</v>
      </c>
      <c r="E57" s="85">
        <v>2014</v>
      </c>
      <c r="F57" s="75" t="s">
        <v>346</v>
      </c>
      <c r="G57" s="90">
        <f>N57/L57</f>
        <v>2155.1785714285711</v>
      </c>
      <c r="H57" s="77" t="s">
        <v>668</v>
      </c>
      <c r="I57" s="78" t="s">
        <v>431</v>
      </c>
      <c r="J57" s="77">
        <v>31</v>
      </c>
      <c r="K57" s="77">
        <v>944</v>
      </c>
      <c r="L57" s="79">
        <v>155.68</v>
      </c>
      <c r="M57" s="79">
        <v>4.47</v>
      </c>
      <c r="N57" s="168">
        <f>75060*M57</f>
        <v>335518.19999999995</v>
      </c>
      <c r="O57" s="91">
        <v>41676</v>
      </c>
      <c r="P57" s="69"/>
      <c r="Q57" s="69"/>
      <c r="R57" s="69"/>
      <c r="S57" s="69"/>
      <c r="T57" s="69"/>
      <c r="U57" s="69"/>
      <c r="V57" s="69"/>
      <c r="W57" s="69"/>
    </row>
    <row r="58" spans="1:23" s="9" customFormat="1" ht="29.4" customHeight="1" x14ac:dyDescent="0.25">
      <c r="A58" s="238"/>
      <c r="B58" s="82" t="s">
        <v>61</v>
      </c>
      <c r="C58" s="98">
        <v>2009</v>
      </c>
      <c r="D58" s="98" t="s">
        <v>355</v>
      </c>
      <c r="E58" s="98" t="s">
        <v>602</v>
      </c>
      <c r="F58" s="98" t="s">
        <v>356</v>
      </c>
      <c r="G58" s="90">
        <v>9000</v>
      </c>
      <c r="H58" s="77" t="s">
        <v>102</v>
      </c>
      <c r="I58" s="78" t="s">
        <v>48</v>
      </c>
      <c r="J58" s="77"/>
      <c r="K58" s="77"/>
      <c r="L58" s="79">
        <v>155.46</v>
      </c>
      <c r="M58" s="79">
        <v>155.46</v>
      </c>
      <c r="N58" s="168">
        <f>G58*L58</f>
        <v>1399140</v>
      </c>
      <c r="O58" s="91">
        <v>41677</v>
      </c>
      <c r="P58" s="69"/>
      <c r="Q58" s="69"/>
      <c r="R58" s="69"/>
      <c r="S58" s="69"/>
      <c r="T58" s="69"/>
      <c r="U58" s="69"/>
      <c r="V58" s="69"/>
      <c r="W58" s="69"/>
    </row>
    <row r="59" spans="1:23" s="9" customFormat="1" ht="28.95" customHeight="1" x14ac:dyDescent="0.25">
      <c r="A59" s="239"/>
      <c r="B59" s="99"/>
      <c r="C59" s="100"/>
      <c r="D59" s="100"/>
      <c r="E59" s="100"/>
      <c r="F59" s="100"/>
      <c r="G59" s="90">
        <v>9000</v>
      </c>
      <c r="H59" s="77" t="s">
        <v>102</v>
      </c>
      <c r="I59" s="78" t="s">
        <v>48</v>
      </c>
      <c r="J59" s="77"/>
      <c r="K59" s="77"/>
      <c r="L59" s="79">
        <v>163.9</v>
      </c>
      <c r="M59" s="79"/>
      <c r="N59" s="168">
        <f>G59*L59</f>
        <v>1475100</v>
      </c>
      <c r="O59" s="91">
        <v>41682</v>
      </c>
      <c r="P59" s="69"/>
      <c r="Q59" s="69"/>
      <c r="R59" s="69"/>
      <c r="S59" s="69"/>
      <c r="T59" s="69"/>
      <c r="U59" s="69"/>
      <c r="V59" s="69"/>
      <c r="W59" s="69"/>
    </row>
    <row r="60" spans="1:23" s="9" customFormat="1" ht="31.2" customHeight="1" x14ac:dyDescent="0.25">
      <c r="A60" s="240"/>
      <c r="B60" s="85"/>
      <c r="C60" s="101"/>
      <c r="D60" s="101"/>
      <c r="E60" s="101"/>
      <c r="F60" s="101"/>
      <c r="G60" s="90">
        <v>7000</v>
      </c>
      <c r="H60" s="77" t="s">
        <v>213</v>
      </c>
      <c r="I60" s="78" t="s">
        <v>48</v>
      </c>
      <c r="J60" s="77"/>
      <c r="K60" s="77"/>
      <c r="L60" s="79">
        <v>184.5</v>
      </c>
      <c r="M60" s="79"/>
      <c r="N60" s="168">
        <f>G60*L60</f>
        <v>1291500</v>
      </c>
      <c r="O60" s="91">
        <v>41684</v>
      </c>
      <c r="P60" s="69"/>
      <c r="Q60" s="69"/>
      <c r="R60" s="69"/>
      <c r="S60" s="69"/>
      <c r="T60" s="69"/>
      <c r="U60" s="69"/>
      <c r="V60" s="69"/>
      <c r="W60" s="69"/>
    </row>
    <row r="61" spans="1:23" s="72" customFormat="1" ht="42" customHeight="1" x14ac:dyDescent="0.25">
      <c r="A61" s="74">
        <v>755</v>
      </c>
      <c r="B61" s="75" t="s">
        <v>287</v>
      </c>
      <c r="C61" s="85">
        <v>2011</v>
      </c>
      <c r="D61" s="85" t="s">
        <v>46</v>
      </c>
      <c r="E61" s="85">
        <v>2014</v>
      </c>
      <c r="F61" s="165" t="s">
        <v>288</v>
      </c>
      <c r="G61" s="90">
        <f>2647*M61/L61</f>
        <v>3605.8022222222221</v>
      </c>
      <c r="H61" s="77" t="s">
        <v>1318</v>
      </c>
      <c r="I61" s="78" t="s">
        <v>41</v>
      </c>
      <c r="J61" s="77">
        <v>32</v>
      </c>
      <c r="K61" s="77">
        <v>945</v>
      </c>
      <c r="L61" s="79">
        <v>184.5</v>
      </c>
      <c r="M61" s="79">
        <v>251.33</v>
      </c>
      <c r="N61" s="168">
        <f>2647*M61</f>
        <v>665270.51</v>
      </c>
      <c r="O61" s="91">
        <v>41684</v>
      </c>
      <c r="P61" s="69"/>
      <c r="Q61" s="69"/>
      <c r="R61" s="69"/>
      <c r="S61" s="69"/>
      <c r="T61" s="69"/>
      <c r="U61" s="69"/>
      <c r="V61" s="69"/>
      <c r="W61" s="69"/>
    </row>
    <row r="62" spans="1:23" s="72" customFormat="1" ht="44.4" customHeight="1" x14ac:dyDescent="0.25">
      <c r="A62" s="74">
        <v>756</v>
      </c>
      <c r="B62" s="75" t="s">
        <v>275</v>
      </c>
      <c r="C62" s="85">
        <v>2011</v>
      </c>
      <c r="D62" s="85" t="s">
        <v>46</v>
      </c>
      <c r="E62" s="85">
        <v>2014</v>
      </c>
      <c r="F62" s="75" t="s">
        <v>292</v>
      </c>
      <c r="G62" s="90">
        <f>4255.36*M62/L62</f>
        <v>5796.7459555555561</v>
      </c>
      <c r="H62" s="77" t="s">
        <v>276</v>
      </c>
      <c r="I62" s="78" t="s">
        <v>41</v>
      </c>
      <c r="J62" s="77">
        <v>33</v>
      </c>
      <c r="K62" s="77">
        <v>946</v>
      </c>
      <c r="L62" s="79">
        <v>184.5</v>
      </c>
      <c r="M62" s="79">
        <v>251.33</v>
      </c>
      <c r="N62" s="168">
        <f>4255.36*M62</f>
        <v>1069499.6288000001</v>
      </c>
      <c r="O62" s="91">
        <v>41684</v>
      </c>
      <c r="P62" s="69"/>
      <c r="Q62" s="69"/>
      <c r="R62" s="69"/>
      <c r="S62" s="69"/>
      <c r="T62" s="69"/>
      <c r="U62" s="69"/>
      <c r="V62" s="69"/>
      <c r="W62" s="69"/>
    </row>
    <row r="63" spans="1:23" s="72" customFormat="1" ht="54.75" customHeight="1" x14ac:dyDescent="0.25">
      <c r="A63" s="74">
        <v>757</v>
      </c>
      <c r="B63" s="75" t="s">
        <v>289</v>
      </c>
      <c r="C63" s="85">
        <v>2004</v>
      </c>
      <c r="D63" s="85" t="s">
        <v>46</v>
      </c>
      <c r="E63" s="85">
        <v>2014</v>
      </c>
      <c r="F63" s="85" t="s">
        <v>293</v>
      </c>
      <c r="G63" s="90">
        <f>3894*M63/L63</f>
        <v>5304.4933333333338</v>
      </c>
      <c r="H63" s="77" t="s">
        <v>247</v>
      </c>
      <c r="I63" s="78" t="s">
        <v>41</v>
      </c>
      <c r="J63" s="77">
        <v>34</v>
      </c>
      <c r="K63" s="77">
        <v>947</v>
      </c>
      <c r="L63" s="79">
        <v>184.5</v>
      </c>
      <c r="M63" s="79">
        <v>251.33</v>
      </c>
      <c r="N63" s="168">
        <f>3894*M63</f>
        <v>978679.02</v>
      </c>
      <c r="O63" s="91">
        <v>41684</v>
      </c>
      <c r="P63" s="69"/>
      <c r="Q63" s="69"/>
      <c r="R63" s="69"/>
      <c r="S63" s="69"/>
      <c r="T63" s="69"/>
      <c r="U63" s="69"/>
      <c r="V63" s="69"/>
      <c r="W63" s="69"/>
    </row>
    <row r="64" spans="1:23" s="9" customFormat="1" ht="42.75" customHeight="1" x14ac:dyDescent="0.25">
      <c r="A64" s="102"/>
      <c r="B64" s="102" t="s">
        <v>88</v>
      </c>
      <c r="C64" s="103">
        <v>2010</v>
      </c>
      <c r="D64" s="104" t="s">
        <v>46</v>
      </c>
      <c r="E64" s="81" t="s">
        <v>269</v>
      </c>
      <c r="F64" s="156" t="s">
        <v>200</v>
      </c>
      <c r="G64" s="105">
        <v>8342.2000000000007</v>
      </c>
      <c r="H64" s="106" t="s">
        <v>1240</v>
      </c>
      <c r="I64" s="82" t="s">
        <v>434</v>
      </c>
      <c r="J64" s="106">
        <v>35</v>
      </c>
      <c r="K64" s="106">
        <v>948</v>
      </c>
      <c r="L64" s="107">
        <v>184.5</v>
      </c>
      <c r="M64" s="107"/>
      <c r="N64" s="169">
        <f>G64*L64</f>
        <v>1539135.9000000001</v>
      </c>
      <c r="O64" s="108">
        <v>41684</v>
      </c>
      <c r="P64" s="69"/>
      <c r="Q64" s="69"/>
      <c r="R64" s="69"/>
      <c r="S64" s="69"/>
      <c r="T64" s="69"/>
      <c r="U64" s="69"/>
      <c r="V64" s="69"/>
      <c r="W64" s="69"/>
    </row>
    <row r="65" spans="1:23" s="9" customFormat="1" ht="42" customHeight="1" x14ac:dyDescent="0.25">
      <c r="A65" s="74"/>
      <c r="B65" s="93" t="s">
        <v>87</v>
      </c>
      <c r="C65" s="85">
        <v>2010</v>
      </c>
      <c r="D65" s="93" t="s">
        <v>46</v>
      </c>
      <c r="E65" s="85" t="s">
        <v>294</v>
      </c>
      <c r="F65" s="85" t="s">
        <v>295</v>
      </c>
      <c r="G65" s="90">
        <f>N65/L65</f>
        <v>3820.4878048780488</v>
      </c>
      <c r="H65" s="77" t="s">
        <v>1288</v>
      </c>
      <c r="I65" s="78" t="s">
        <v>41</v>
      </c>
      <c r="J65" s="77">
        <v>36</v>
      </c>
      <c r="K65" s="77">
        <v>949</v>
      </c>
      <c r="L65" s="79">
        <v>184.5</v>
      </c>
      <c r="M65" s="79">
        <v>5.28</v>
      </c>
      <c r="N65" s="168">
        <f>133500*M65</f>
        <v>704880</v>
      </c>
      <c r="O65" s="91">
        <v>41684</v>
      </c>
      <c r="P65" s="69"/>
      <c r="Q65" s="69"/>
      <c r="R65" s="69"/>
      <c r="S65" s="69"/>
      <c r="T65" s="69"/>
      <c r="U65" s="69"/>
      <c r="V65" s="69"/>
      <c r="W65" s="69"/>
    </row>
    <row r="66" spans="1:23" s="72" customFormat="1" ht="30.6" customHeight="1" x14ac:dyDescent="0.25">
      <c r="A66" s="236">
        <v>758</v>
      </c>
      <c r="B66" s="109" t="s">
        <v>277</v>
      </c>
      <c r="C66" s="82">
        <v>2009</v>
      </c>
      <c r="D66" s="110" t="s">
        <v>46</v>
      </c>
      <c r="E66" s="111">
        <v>2014</v>
      </c>
      <c r="F66" s="82" t="s">
        <v>101</v>
      </c>
      <c r="G66" s="106">
        <v>12000</v>
      </c>
      <c r="H66" s="77" t="s">
        <v>102</v>
      </c>
      <c r="I66" s="78" t="s">
        <v>41</v>
      </c>
      <c r="J66" s="106">
        <v>37</v>
      </c>
      <c r="K66" s="106">
        <v>950</v>
      </c>
      <c r="L66" s="79">
        <v>184.5</v>
      </c>
      <c r="M66" s="79"/>
      <c r="N66" s="168">
        <f>9000*L66</f>
        <v>1660500</v>
      </c>
      <c r="O66" s="91">
        <v>41684</v>
      </c>
      <c r="P66" s="69"/>
      <c r="Q66" s="69"/>
      <c r="R66" s="69"/>
      <c r="S66" s="69"/>
      <c r="T66" s="69"/>
      <c r="U66" s="69"/>
      <c r="V66" s="69"/>
      <c r="W66" s="69"/>
    </row>
    <row r="67" spans="1:23" s="72" customFormat="1" ht="27.75" customHeight="1" x14ac:dyDescent="0.25">
      <c r="A67" s="237"/>
      <c r="B67" s="112"/>
      <c r="C67" s="85"/>
      <c r="D67" s="113"/>
      <c r="E67" s="114"/>
      <c r="F67" s="112"/>
      <c r="G67" s="115"/>
      <c r="H67" s="77" t="s">
        <v>227</v>
      </c>
      <c r="I67" s="78" t="s">
        <v>41</v>
      </c>
      <c r="J67" s="115"/>
      <c r="K67" s="115"/>
      <c r="L67" s="79">
        <v>184.51</v>
      </c>
      <c r="M67" s="79"/>
      <c r="N67" s="168">
        <f>3000*L67</f>
        <v>553530</v>
      </c>
      <c r="O67" s="91">
        <v>41687</v>
      </c>
      <c r="P67" s="69"/>
      <c r="Q67" s="69"/>
      <c r="R67" s="69"/>
      <c r="S67" s="69"/>
      <c r="T67" s="69"/>
      <c r="U67" s="69"/>
      <c r="V67" s="69"/>
      <c r="W67" s="69"/>
    </row>
    <row r="68" spans="1:23" s="9" customFormat="1" ht="26.4" customHeight="1" x14ac:dyDescent="0.25">
      <c r="A68" s="116"/>
      <c r="B68" s="117" t="s">
        <v>113</v>
      </c>
      <c r="C68" s="82">
        <v>2004</v>
      </c>
      <c r="D68" s="109" t="s">
        <v>46</v>
      </c>
      <c r="E68" s="241" t="s">
        <v>269</v>
      </c>
      <c r="F68" s="229" t="s">
        <v>101</v>
      </c>
      <c r="G68" s="243">
        <v>12000</v>
      </c>
      <c r="H68" s="77" t="s">
        <v>102</v>
      </c>
      <c r="I68" s="78" t="s">
        <v>41</v>
      </c>
      <c r="J68" s="106">
        <v>38</v>
      </c>
      <c r="K68" s="106">
        <v>951</v>
      </c>
      <c r="L68" s="79">
        <v>184.5</v>
      </c>
      <c r="M68" s="79"/>
      <c r="N68" s="168">
        <f>9000*L68</f>
        <v>1660500</v>
      </c>
      <c r="O68" s="91">
        <v>41684</v>
      </c>
      <c r="P68" s="69"/>
      <c r="Q68" s="69"/>
      <c r="R68" s="69"/>
      <c r="S68" s="69"/>
      <c r="T68" s="69"/>
      <c r="U68" s="69"/>
      <c r="V68" s="69"/>
      <c r="W68" s="69"/>
    </row>
    <row r="69" spans="1:23" s="9" customFormat="1" ht="31.95" customHeight="1" x14ac:dyDescent="0.25">
      <c r="A69" s="118"/>
      <c r="B69" s="119"/>
      <c r="C69" s="85"/>
      <c r="D69" s="112"/>
      <c r="E69" s="242"/>
      <c r="F69" s="226"/>
      <c r="G69" s="244"/>
      <c r="H69" s="77" t="s">
        <v>227</v>
      </c>
      <c r="I69" s="78" t="s">
        <v>41</v>
      </c>
      <c r="J69" s="115"/>
      <c r="K69" s="115"/>
      <c r="L69" s="79">
        <v>184.51</v>
      </c>
      <c r="M69" s="79"/>
      <c r="N69" s="168">
        <f>3000*L69</f>
        <v>553530</v>
      </c>
      <c r="O69" s="91">
        <v>41687</v>
      </c>
      <c r="P69" s="69"/>
      <c r="Q69" s="69"/>
      <c r="R69" s="69"/>
      <c r="S69" s="69"/>
      <c r="T69" s="69"/>
      <c r="U69" s="69"/>
      <c r="V69" s="69"/>
      <c r="W69" s="69"/>
    </row>
    <row r="70" spans="1:23" s="72" customFormat="1" ht="30.75" customHeight="1" x14ac:dyDescent="0.25">
      <c r="A70" s="118"/>
      <c r="B70" s="120" t="s">
        <v>290</v>
      </c>
      <c r="C70" s="85">
        <v>2011</v>
      </c>
      <c r="D70" s="120" t="s">
        <v>46</v>
      </c>
      <c r="E70" s="85">
        <v>2014</v>
      </c>
      <c r="F70" s="75" t="s">
        <v>245</v>
      </c>
      <c r="G70" s="90">
        <f>88850*M70/L70</f>
        <v>2542.6991869918697</v>
      </c>
      <c r="H70" s="77" t="s">
        <v>278</v>
      </c>
      <c r="I70" s="78" t="s">
        <v>41</v>
      </c>
      <c r="J70" s="77">
        <v>39</v>
      </c>
      <c r="K70" s="77">
        <v>952</v>
      </c>
      <c r="L70" s="79">
        <v>184.5</v>
      </c>
      <c r="M70" s="79">
        <v>5.28</v>
      </c>
      <c r="N70" s="168">
        <f>88850*M70</f>
        <v>469128</v>
      </c>
      <c r="O70" s="91">
        <v>41684</v>
      </c>
      <c r="P70" s="69"/>
      <c r="Q70" s="69"/>
      <c r="R70" s="69"/>
      <c r="S70" s="69"/>
      <c r="T70" s="69"/>
      <c r="U70" s="69"/>
      <c r="V70" s="69"/>
      <c r="W70" s="69"/>
    </row>
    <row r="71" spans="1:23" s="9" customFormat="1" ht="43.2" customHeight="1" x14ac:dyDescent="0.25">
      <c r="A71" s="74">
        <v>759</v>
      </c>
      <c r="B71" s="121" t="s">
        <v>286</v>
      </c>
      <c r="C71" s="75">
        <v>2005</v>
      </c>
      <c r="D71" s="94" t="s">
        <v>46</v>
      </c>
      <c r="E71" s="85">
        <v>2014</v>
      </c>
      <c r="F71" s="93" t="s">
        <v>296</v>
      </c>
      <c r="G71" s="90">
        <f>N71/L71</f>
        <v>1757.6283128285731</v>
      </c>
      <c r="H71" s="77" t="s">
        <v>671</v>
      </c>
      <c r="I71" s="78" t="s">
        <v>41</v>
      </c>
      <c r="J71" s="77">
        <v>40</v>
      </c>
      <c r="K71" s="77">
        <v>953</v>
      </c>
      <c r="L71" s="79">
        <v>184.51</v>
      </c>
      <c r="M71" s="79"/>
      <c r="N71" s="168">
        <v>324300</v>
      </c>
      <c r="O71" s="91">
        <v>41687</v>
      </c>
      <c r="P71" s="69"/>
      <c r="Q71" s="69"/>
      <c r="R71" s="69"/>
      <c r="S71" s="69"/>
      <c r="T71" s="69"/>
      <c r="U71" s="69"/>
      <c r="V71" s="69"/>
      <c r="W71" s="69"/>
    </row>
    <row r="72" spans="1:23" s="9" customFormat="1" ht="41.25" customHeight="1" x14ac:dyDescent="0.25">
      <c r="A72" s="74">
        <v>760</v>
      </c>
      <c r="B72" s="96" t="s">
        <v>124</v>
      </c>
      <c r="C72" s="85">
        <v>2007</v>
      </c>
      <c r="D72" s="94" t="s">
        <v>46</v>
      </c>
      <c r="E72" s="85" t="s">
        <v>269</v>
      </c>
      <c r="F72" s="93" t="s">
        <v>47</v>
      </c>
      <c r="G72" s="90">
        <f>N72/L72</f>
        <v>1674.5046070460703</v>
      </c>
      <c r="H72" s="77" t="s">
        <v>1256</v>
      </c>
      <c r="I72" s="78" t="s">
        <v>41</v>
      </c>
      <c r="J72" s="77">
        <v>41</v>
      </c>
      <c r="K72" s="77">
        <v>954</v>
      </c>
      <c r="L72" s="79">
        <v>184.5</v>
      </c>
      <c r="M72" s="79">
        <v>5.26</v>
      </c>
      <c r="N72" s="168">
        <f>58735*M72</f>
        <v>308946.09999999998</v>
      </c>
      <c r="O72" s="91">
        <v>41688</v>
      </c>
      <c r="P72" s="69"/>
      <c r="Q72" s="69"/>
      <c r="R72" s="69"/>
      <c r="S72" s="69"/>
      <c r="T72" s="69"/>
      <c r="U72" s="69"/>
      <c r="V72" s="69"/>
      <c r="W72" s="69"/>
    </row>
    <row r="73" spans="1:23" s="72" customFormat="1" ht="53.25" customHeight="1" x14ac:dyDescent="0.25">
      <c r="A73" s="74"/>
      <c r="B73" s="75" t="s">
        <v>211</v>
      </c>
      <c r="C73" s="85">
        <v>2011</v>
      </c>
      <c r="D73" s="94" t="s">
        <v>46</v>
      </c>
      <c r="E73" s="85" t="s">
        <v>269</v>
      </c>
      <c r="F73" s="85" t="s">
        <v>293</v>
      </c>
      <c r="G73" s="90">
        <f>3400*M73/L73</f>
        <v>4658.2764227642274</v>
      </c>
      <c r="H73" s="77" t="s">
        <v>246</v>
      </c>
      <c r="I73" s="78" t="s">
        <v>41</v>
      </c>
      <c r="J73" s="77">
        <v>42</v>
      </c>
      <c r="K73" s="77">
        <v>955</v>
      </c>
      <c r="L73" s="79">
        <v>184.5</v>
      </c>
      <c r="M73" s="79">
        <v>252.78</v>
      </c>
      <c r="N73" s="168">
        <f>3400*M73</f>
        <v>859452</v>
      </c>
      <c r="O73" s="91">
        <v>41688</v>
      </c>
      <c r="P73" s="69"/>
      <c r="Q73" s="69"/>
      <c r="R73" s="69"/>
      <c r="S73" s="69"/>
      <c r="T73" s="69"/>
      <c r="U73" s="69"/>
      <c r="V73" s="69"/>
      <c r="W73" s="69"/>
    </row>
    <row r="74" spans="1:23" s="9" customFormat="1" ht="42" customHeight="1" x14ac:dyDescent="0.25">
      <c r="A74" s="74">
        <v>761</v>
      </c>
      <c r="B74" s="120" t="s">
        <v>280</v>
      </c>
      <c r="C74" s="85">
        <v>2009</v>
      </c>
      <c r="D74" s="94" t="s">
        <v>46</v>
      </c>
      <c r="E74" s="85">
        <v>2014</v>
      </c>
      <c r="F74" s="85" t="s">
        <v>291</v>
      </c>
      <c r="G74" s="90">
        <f>150000*M74/L74</f>
        <v>4276.4227642276419</v>
      </c>
      <c r="H74" s="77" t="s">
        <v>86</v>
      </c>
      <c r="I74" s="78" t="s">
        <v>41</v>
      </c>
      <c r="J74" s="77">
        <v>43</v>
      </c>
      <c r="K74" s="77">
        <v>956</v>
      </c>
      <c r="L74" s="79">
        <v>184.5</v>
      </c>
      <c r="M74" s="79">
        <v>5.26</v>
      </c>
      <c r="N74" s="168">
        <f>150000*M74</f>
        <v>789000</v>
      </c>
      <c r="O74" s="91">
        <v>41688</v>
      </c>
      <c r="P74" s="69"/>
      <c r="Q74" s="69"/>
      <c r="R74" s="69"/>
      <c r="S74" s="69"/>
      <c r="T74" s="69"/>
      <c r="U74" s="69"/>
      <c r="V74" s="69"/>
      <c r="W74" s="69"/>
    </row>
    <row r="75" spans="1:23" s="9" customFormat="1" ht="42" customHeight="1" x14ac:dyDescent="0.25">
      <c r="A75" s="74">
        <v>762</v>
      </c>
      <c r="B75" s="96" t="s">
        <v>281</v>
      </c>
      <c r="C75" s="85">
        <v>2010</v>
      </c>
      <c r="D75" s="94" t="s">
        <v>46</v>
      </c>
      <c r="E75" s="85">
        <v>2014</v>
      </c>
      <c r="F75" s="85" t="s">
        <v>85</v>
      </c>
      <c r="G75" s="90">
        <f>47300*M75/L75</f>
        <v>1348.4986449864498</v>
      </c>
      <c r="H75" s="77" t="s">
        <v>282</v>
      </c>
      <c r="I75" s="78" t="s">
        <v>41</v>
      </c>
      <c r="J75" s="77">
        <v>44</v>
      </c>
      <c r="K75" s="77">
        <v>957</v>
      </c>
      <c r="L75" s="79">
        <v>184.5</v>
      </c>
      <c r="M75" s="79">
        <v>5.26</v>
      </c>
      <c r="N75" s="168">
        <f>47300*M75</f>
        <v>248798</v>
      </c>
      <c r="O75" s="91">
        <v>41688</v>
      </c>
      <c r="P75" s="69"/>
      <c r="Q75" s="69"/>
      <c r="R75" s="69"/>
      <c r="S75" s="69"/>
      <c r="T75" s="69"/>
      <c r="U75" s="69"/>
      <c r="V75" s="69"/>
      <c r="W75" s="69"/>
    </row>
    <row r="76" spans="1:23" s="67" customFormat="1" ht="34.200000000000003" customHeight="1" x14ac:dyDescent="0.25">
      <c r="A76" s="74"/>
      <c r="B76" s="75" t="s">
        <v>133</v>
      </c>
      <c r="C76" s="85">
        <v>2009</v>
      </c>
      <c r="D76" s="94" t="s">
        <v>104</v>
      </c>
      <c r="E76" s="85" t="s">
        <v>357</v>
      </c>
      <c r="F76" s="93" t="s">
        <v>297</v>
      </c>
      <c r="G76" s="90">
        <v>4600</v>
      </c>
      <c r="H76" s="77" t="s">
        <v>1315</v>
      </c>
      <c r="I76" s="78" t="s">
        <v>41</v>
      </c>
      <c r="J76" s="77">
        <v>45</v>
      </c>
      <c r="K76" s="77">
        <v>958</v>
      </c>
      <c r="L76" s="79">
        <v>184.51</v>
      </c>
      <c r="M76" s="79"/>
      <c r="N76" s="168">
        <f>G76*L76</f>
        <v>848746</v>
      </c>
      <c r="O76" s="91">
        <v>41689</v>
      </c>
      <c r="P76" s="69"/>
      <c r="Q76" s="69"/>
      <c r="R76" s="69"/>
      <c r="S76" s="69"/>
      <c r="T76" s="69"/>
      <c r="U76" s="69"/>
      <c r="V76" s="69"/>
      <c r="W76" s="69"/>
    </row>
    <row r="77" spans="1:23" s="9" customFormat="1" ht="34.950000000000003" customHeight="1" x14ac:dyDescent="0.25">
      <c r="A77" s="74"/>
      <c r="B77" s="75" t="s">
        <v>256</v>
      </c>
      <c r="C77" s="85">
        <v>2008</v>
      </c>
      <c r="D77" s="94" t="s">
        <v>46</v>
      </c>
      <c r="E77" s="85">
        <v>2014</v>
      </c>
      <c r="F77" s="93" t="s">
        <v>297</v>
      </c>
      <c r="G77" s="90">
        <v>1800</v>
      </c>
      <c r="H77" s="77" t="s">
        <v>809</v>
      </c>
      <c r="I77" s="78" t="s">
        <v>41</v>
      </c>
      <c r="J77" s="77">
        <v>46</v>
      </c>
      <c r="K77" s="77">
        <v>959</v>
      </c>
      <c r="L77" s="79">
        <v>184.51</v>
      </c>
      <c r="M77" s="79"/>
      <c r="N77" s="168">
        <f>G77*L77</f>
        <v>332118</v>
      </c>
      <c r="O77" s="91">
        <v>41689</v>
      </c>
      <c r="P77" s="69"/>
      <c r="Q77" s="69"/>
      <c r="R77" s="69"/>
      <c r="S77" s="69"/>
      <c r="T77" s="69"/>
      <c r="U77" s="69"/>
      <c r="V77" s="69"/>
      <c r="W77" s="69"/>
    </row>
    <row r="78" spans="1:23" s="72" customFormat="1" ht="34.950000000000003" customHeight="1" x14ac:dyDescent="0.25">
      <c r="A78" s="74"/>
      <c r="B78" s="75" t="s">
        <v>152</v>
      </c>
      <c r="C78" s="85">
        <v>2009</v>
      </c>
      <c r="D78" s="120" t="s">
        <v>96</v>
      </c>
      <c r="E78" s="85" t="s">
        <v>301</v>
      </c>
      <c r="F78" s="120" t="s">
        <v>97</v>
      </c>
      <c r="G78" s="90">
        <f>N78/L78</f>
        <v>5297.7511650590659</v>
      </c>
      <c r="H78" s="77" t="s">
        <v>358</v>
      </c>
      <c r="I78" s="78" t="s">
        <v>48</v>
      </c>
      <c r="J78" s="77">
        <v>47</v>
      </c>
      <c r="K78" s="77">
        <v>960</v>
      </c>
      <c r="L78" s="79">
        <v>184.54</v>
      </c>
      <c r="M78" s="79">
        <v>5.17</v>
      </c>
      <c r="N78" s="168">
        <f>189100*M78</f>
        <v>977647</v>
      </c>
      <c r="O78" s="91">
        <v>41690</v>
      </c>
      <c r="P78" s="69"/>
      <c r="Q78" s="69"/>
      <c r="R78" s="69"/>
      <c r="S78" s="69"/>
      <c r="T78" s="69"/>
      <c r="U78" s="69"/>
      <c r="V78" s="69"/>
      <c r="W78" s="69"/>
    </row>
    <row r="79" spans="1:23" s="9" customFormat="1" ht="37.200000000000003" customHeight="1" x14ac:dyDescent="0.25">
      <c r="A79" s="74">
        <v>763</v>
      </c>
      <c r="B79" s="75" t="s">
        <v>359</v>
      </c>
      <c r="C79" s="85">
        <v>2005</v>
      </c>
      <c r="D79" s="85" t="s">
        <v>154</v>
      </c>
      <c r="E79" s="85">
        <v>2014</v>
      </c>
      <c r="F79" s="96" t="s">
        <v>356</v>
      </c>
      <c r="G79" s="90">
        <v>6000</v>
      </c>
      <c r="H79" s="77" t="s">
        <v>360</v>
      </c>
      <c r="I79" s="78" t="s">
        <v>432</v>
      </c>
      <c r="J79" s="77">
        <v>48</v>
      </c>
      <c r="K79" s="77">
        <v>961</v>
      </c>
      <c r="L79" s="79">
        <v>184.54</v>
      </c>
      <c r="M79" s="79"/>
      <c r="N79" s="168">
        <f>G79*L79</f>
        <v>1107240</v>
      </c>
      <c r="O79" s="91">
        <v>41690</v>
      </c>
      <c r="P79" s="69"/>
      <c r="Q79" s="69"/>
      <c r="R79" s="69"/>
      <c r="S79" s="69"/>
      <c r="T79" s="69"/>
      <c r="U79" s="69"/>
      <c r="V79" s="69"/>
      <c r="W79" s="69"/>
    </row>
    <row r="80" spans="1:23" s="72" customFormat="1" ht="31.2" customHeight="1" x14ac:dyDescent="0.25">
      <c r="A80" s="74">
        <v>764</v>
      </c>
      <c r="B80" s="75" t="s">
        <v>283</v>
      </c>
      <c r="C80" s="85">
        <v>2012</v>
      </c>
      <c r="D80" s="85" t="s">
        <v>46</v>
      </c>
      <c r="E80" s="85">
        <v>2014</v>
      </c>
      <c r="F80" s="75" t="s">
        <v>245</v>
      </c>
      <c r="G80" s="90">
        <f>92100*M80/L80</f>
        <v>2571.6233766233763</v>
      </c>
      <c r="H80" s="77" t="s">
        <v>284</v>
      </c>
      <c r="I80" s="78" t="s">
        <v>41</v>
      </c>
      <c r="J80" s="77">
        <v>49</v>
      </c>
      <c r="K80" s="77">
        <v>962</v>
      </c>
      <c r="L80" s="79">
        <v>184.8</v>
      </c>
      <c r="M80" s="79">
        <v>5.16</v>
      </c>
      <c r="N80" s="168">
        <f>92100*M80</f>
        <v>475236</v>
      </c>
      <c r="O80" s="91">
        <v>41691</v>
      </c>
      <c r="P80" s="69"/>
      <c r="Q80" s="69"/>
      <c r="R80" s="69"/>
      <c r="S80" s="69"/>
      <c r="T80" s="69"/>
      <c r="U80" s="69"/>
      <c r="V80" s="69"/>
      <c r="W80" s="69"/>
    </row>
    <row r="81" spans="1:23" s="72" customFormat="1" ht="36.6" customHeight="1" x14ac:dyDescent="0.25">
      <c r="A81" s="74"/>
      <c r="B81" s="75" t="s">
        <v>298</v>
      </c>
      <c r="C81" s="85">
        <v>2010</v>
      </c>
      <c r="D81" s="85" t="s">
        <v>46</v>
      </c>
      <c r="E81" s="85" t="s">
        <v>269</v>
      </c>
      <c r="F81" s="85" t="s">
        <v>299</v>
      </c>
      <c r="G81" s="90">
        <f>165800*M81/L81</f>
        <v>4629.4805194805194</v>
      </c>
      <c r="H81" s="77" t="s">
        <v>285</v>
      </c>
      <c r="I81" s="78" t="s">
        <v>41</v>
      </c>
      <c r="J81" s="77">
        <v>50</v>
      </c>
      <c r="K81" s="77">
        <v>963</v>
      </c>
      <c r="L81" s="79">
        <v>184.8</v>
      </c>
      <c r="M81" s="79">
        <v>5.16</v>
      </c>
      <c r="N81" s="168">
        <f>165800*M81</f>
        <v>855528</v>
      </c>
      <c r="O81" s="91">
        <v>41691</v>
      </c>
      <c r="P81" s="69"/>
      <c r="Q81" s="69"/>
      <c r="R81" s="69"/>
      <c r="S81" s="69"/>
      <c r="T81" s="69"/>
      <c r="U81" s="69"/>
      <c r="V81" s="69"/>
      <c r="W81" s="69"/>
    </row>
    <row r="82" spans="1:23" s="72" customFormat="1" ht="77.400000000000006" customHeight="1" x14ac:dyDescent="0.25">
      <c r="A82" s="74"/>
      <c r="B82" s="75" t="s">
        <v>57</v>
      </c>
      <c r="C82" s="85">
        <v>1994</v>
      </c>
      <c r="D82" s="93" t="s">
        <v>58</v>
      </c>
      <c r="E82" s="85" t="s">
        <v>301</v>
      </c>
      <c r="F82" s="85" t="s">
        <v>300</v>
      </c>
      <c r="G82" s="90">
        <f>81000*M82/L82</f>
        <v>2268.6131386861316</v>
      </c>
      <c r="H82" s="77" t="s">
        <v>95</v>
      </c>
      <c r="I82" s="81" t="s">
        <v>433</v>
      </c>
      <c r="J82" s="77">
        <v>51</v>
      </c>
      <c r="K82" s="77">
        <v>964</v>
      </c>
      <c r="L82" s="79">
        <v>184.95</v>
      </c>
      <c r="M82" s="79">
        <v>5.18</v>
      </c>
      <c r="N82" s="168">
        <f>81000*M82</f>
        <v>419580</v>
      </c>
      <c r="O82" s="91">
        <v>41694</v>
      </c>
      <c r="P82" s="69"/>
      <c r="Q82" s="69"/>
      <c r="R82" s="69"/>
      <c r="S82" s="69"/>
      <c r="T82" s="69"/>
      <c r="U82" s="69"/>
      <c r="V82" s="69"/>
      <c r="W82" s="69"/>
    </row>
    <row r="83" spans="1:23" s="72" customFormat="1" ht="54" customHeight="1" x14ac:dyDescent="0.25">
      <c r="A83" s="74"/>
      <c r="B83" s="75" t="s">
        <v>30</v>
      </c>
      <c r="C83" s="85">
        <v>2005</v>
      </c>
      <c r="D83" s="93" t="s">
        <v>31</v>
      </c>
      <c r="E83" s="85" t="s">
        <v>361</v>
      </c>
      <c r="F83" s="75" t="s">
        <v>202</v>
      </c>
      <c r="G83" s="90">
        <f>82015*M83/L83</f>
        <v>2267.7985115167317</v>
      </c>
      <c r="H83" s="77" t="s">
        <v>362</v>
      </c>
      <c r="I83" s="92" t="s">
        <v>429</v>
      </c>
      <c r="J83" s="77">
        <v>52</v>
      </c>
      <c r="K83" s="77">
        <v>965</v>
      </c>
      <c r="L83" s="79">
        <v>184.08</v>
      </c>
      <c r="M83" s="79">
        <v>5.09</v>
      </c>
      <c r="N83" s="168">
        <f>82015*M83</f>
        <v>417456.35</v>
      </c>
      <c r="O83" s="91">
        <v>41701</v>
      </c>
      <c r="P83" s="69"/>
      <c r="Q83" s="69"/>
      <c r="R83" s="69"/>
      <c r="S83" s="69"/>
      <c r="T83" s="69"/>
      <c r="U83" s="69"/>
      <c r="V83" s="69"/>
      <c r="W83" s="69"/>
    </row>
    <row r="84" spans="1:23" s="70" customFormat="1" ht="56.4" customHeight="1" x14ac:dyDescent="0.25">
      <c r="A84" s="74"/>
      <c r="B84" s="75" t="s">
        <v>363</v>
      </c>
      <c r="C84" s="85">
        <v>2008</v>
      </c>
      <c r="D84" s="93" t="s">
        <v>29</v>
      </c>
      <c r="E84" s="85" t="s">
        <v>364</v>
      </c>
      <c r="F84" s="93" t="s">
        <v>13</v>
      </c>
      <c r="G84" s="90">
        <f>N84/L84</f>
        <v>1415.7322903085615</v>
      </c>
      <c r="H84" s="77" t="s">
        <v>1293</v>
      </c>
      <c r="I84" s="92" t="s">
        <v>429</v>
      </c>
      <c r="J84" s="77">
        <v>53</v>
      </c>
      <c r="K84" s="77">
        <v>966</v>
      </c>
      <c r="L84" s="79">
        <v>184.08</v>
      </c>
      <c r="M84" s="79">
        <v>5.09</v>
      </c>
      <c r="N84" s="168">
        <f>51200*M84</f>
        <v>260608</v>
      </c>
      <c r="O84" s="91">
        <v>41701</v>
      </c>
      <c r="P84" s="69"/>
      <c r="Q84" s="69"/>
      <c r="R84" s="69"/>
      <c r="S84" s="69"/>
      <c r="T84" s="69"/>
      <c r="U84" s="69"/>
      <c r="V84" s="69"/>
      <c r="W84" s="69"/>
    </row>
    <row r="85" spans="1:23" s="9" customFormat="1" ht="42" customHeight="1" x14ac:dyDescent="0.25">
      <c r="A85" s="74"/>
      <c r="B85" s="75" t="s">
        <v>365</v>
      </c>
      <c r="C85" s="85">
        <v>2004</v>
      </c>
      <c r="D85" s="85" t="s">
        <v>46</v>
      </c>
      <c r="E85" s="85" t="s">
        <v>269</v>
      </c>
      <c r="F85" s="93" t="s">
        <v>47</v>
      </c>
      <c r="G85" s="90">
        <f>197485*M85/L85</f>
        <v>5460.661940460669</v>
      </c>
      <c r="H85" s="77" t="s">
        <v>366</v>
      </c>
      <c r="I85" s="78" t="s">
        <v>41</v>
      </c>
      <c r="J85" s="77">
        <v>54</v>
      </c>
      <c r="K85" s="77">
        <v>967</v>
      </c>
      <c r="L85" s="79">
        <v>184.08</v>
      </c>
      <c r="M85" s="79">
        <v>5.09</v>
      </c>
      <c r="N85" s="168">
        <f>197485*M85</f>
        <v>1005198.65</v>
      </c>
      <c r="O85" s="91">
        <v>41701</v>
      </c>
      <c r="P85" s="69"/>
      <c r="Q85" s="69"/>
      <c r="R85" s="69"/>
      <c r="S85" s="69"/>
      <c r="T85" s="69"/>
      <c r="U85" s="69"/>
      <c r="V85" s="69"/>
      <c r="W85" s="69"/>
    </row>
    <row r="86" spans="1:23" s="9" customFormat="1" ht="42" customHeight="1" x14ac:dyDescent="0.25">
      <c r="A86" s="74">
        <v>765</v>
      </c>
      <c r="B86" s="75" t="s">
        <v>367</v>
      </c>
      <c r="C86" s="85">
        <v>2010</v>
      </c>
      <c r="D86" s="85" t="s">
        <v>46</v>
      </c>
      <c r="E86" s="85">
        <v>2014</v>
      </c>
      <c r="F86" s="85" t="s">
        <v>295</v>
      </c>
      <c r="G86" s="90">
        <f>168500*M86/L86</f>
        <v>4659.1970882225114</v>
      </c>
      <c r="H86" s="77" t="s">
        <v>368</v>
      </c>
      <c r="I86" s="78" t="s">
        <v>41</v>
      </c>
      <c r="J86" s="77">
        <v>55</v>
      </c>
      <c r="K86" s="77">
        <v>968</v>
      </c>
      <c r="L86" s="79">
        <v>184.08</v>
      </c>
      <c r="M86" s="79">
        <v>5.09</v>
      </c>
      <c r="N86" s="168">
        <f>168500*M86</f>
        <v>857665</v>
      </c>
      <c r="O86" s="91">
        <v>41701</v>
      </c>
      <c r="P86" s="69"/>
      <c r="Q86" s="69"/>
      <c r="R86" s="69"/>
      <c r="S86" s="69"/>
      <c r="T86" s="69"/>
      <c r="U86" s="69"/>
      <c r="V86" s="69"/>
      <c r="W86" s="69"/>
    </row>
    <row r="87" spans="1:23" s="9" customFormat="1" ht="42" customHeight="1" x14ac:dyDescent="0.25">
      <c r="A87" s="74"/>
      <c r="B87" s="75" t="s">
        <v>369</v>
      </c>
      <c r="C87" s="85">
        <v>2010</v>
      </c>
      <c r="D87" s="85" t="s">
        <v>46</v>
      </c>
      <c r="E87" s="85" t="s">
        <v>269</v>
      </c>
      <c r="F87" s="85" t="s">
        <v>295</v>
      </c>
      <c r="G87" s="90">
        <f>166100*M87/L87</f>
        <v>4592.8346371142979</v>
      </c>
      <c r="H87" s="77" t="s">
        <v>370</v>
      </c>
      <c r="I87" s="78" t="s">
        <v>41</v>
      </c>
      <c r="J87" s="77">
        <v>56</v>
      </c>
      <c r="K87" s="77">
        <v>969</v>
      </c>
      <c r="L87" s="79">
        <v>184.08</v>
      </c>
      <c r="M87" s="79">
        <v>5.09</v>
      </c>
      <c r="N87" s="168">
        <f>166100*M87</f>
        <v>845449</v>
      </c>
      <c r="O87" s="91">
        <v>41701</v>
      </c>
      <c r="P87" s="69"/>
      <c r="Q87" s="69"/>
      <c r="R87" s="69"/>
      <c r="S87" s="69"/>
      <c r="T87" s="69"/>
      <c r="U87" s="69"/>
      <c r="V87" s="69"/>
      <c r="W87" s="69"/>
    </row>
    <row r="88" spans="1:23" s="9" customFormat="1" ht="42" customHeight="1" x14ac:dyDescent="0.25">
      <c r="A88" s="74">
        <v>766</v>
      </c>
      <c r="B88" s="75" t="s">
        <v>371</v>
      </c>
      <c r="C88" s="85">
        <v>2009</v>
      </c>
      <c r="D88" s="85" t="s">
        <v>46</v>
      </c>
      <c r="E88" s="85">
        <v>2014</v>
      </c>
      <c r="F88" s="85" t="s">
        <v>295</v>
      </c>
      <c r="G88" s="90">
        <f>160800*M88/L88</f>
        <v>4446.2842242503257</v>
      </c>
      <c r="H88" s="77" t="s">
        <v>372</v>
      </c>
      <c r="I88" s="78" t="s">
        <v>41</v>
      </c>
      <c r="J88" s="77">
        <v>57</v>
      </c>
      <c r="K88" s="77">
        <v>970</v>
      </c>
      <c r="L88" s="79">
        <v>184.08</v>
      </c>
      <c r="M88" s="79">
        <v>5.09</v>
      </c>
      <c r="N88" s="168">
        <f>160800*M88</f>
        <v>818472</v>
      </c>
      <c r="O88" s="91">
        <v>41701</v>
      </c>
      <c r="P88" s="69"/>
      <c r="Q88" s="69"/>
      <c r="R88" s="69"/>
      <c r="S88" s="69"/>
      <c r="T88" s="69"/>
      <c r="U88" s="69"/>
      <c r="V88" s="69"/>
      <c r="W88" s="69"/>
    </row>
    <row r="89" spans="1:23" s="9" customFormat="1" ht="42" customHeight="1" x14ac:dyDescent="0.25">
      <c r="A89" s="74">
        <v>767</v>
      </c>
      <c r="B89" s="75" t="s">
        <v>373</v>
      </c>
      <c r="C89" s="85">
        <v>2012</v>
      </c>
      <c r="D89" s="85" t="s">
        <v>46</v>
      </c>
      <c r="E89" s="85">
        <v>2014</v>
      </c>
      <c r="F89" s="85" t="s">
        <v>295</v>
      </c>
      <c r="G89" s="90">
        <f>N89/L89</f>
        <v>1963.2225119513255</v>
      </c>
      <c r="H89" s="77" t="s">
        <v>669</v>
      </c>
      <c r="I89" s="78" t="s">
        <v>41</v>
      </c>
      <c r="J89" s="77">
        <v>58</v>
      </c>
      <c r="K89" s="77">
        <v>971</v>
      </c>
      <c r="L89" s="79">
        <v>184.08</v>
      </c>
      <c r="M89" s="79">
        <v>5.09</v>
      </c>
      <c r="N89" s="168">
        <f>71000*M89</f>
        <v>361390</v>
      </c>
      <c r="O89" s="91">
        <v>41701</v>
      </c>
      <c r="P89" s="68"/>
      <c r="Q89" s="69"/>
      <c r="R89" s="69"/>
      <c r="S89" s="69"/>
      <c r="T89" s="69"/>
      <c r="U89" s="69"/>
      <c r="V89" s="69"/>
      <c r="W89" s="69"/>
    </row>
    <row r="90" spans="1:23" s="9" customFormat="1" ht="42" customHeight="1" x14ac:dyDescent="0.25">
      <c r="A90" s="74">
        <v>768</v>
      </c>
      <c r="B90" s="75" t="s">
        <v>374</v>
      </c>
      <c r="C90" s="85">
        <v>2004</v>
      </c>
      <c r="D90" s="85" t="s">
        <v>46</v>
      </c>
      <c r="E90" s="85">
        <v>2014</v>
      </c>
      <c r="F90" s="85" t="s">
        <v>295</v>
      </c>
      <c r="G90" s="90">
        <f>173000*M90/L90</f>
        <v>4783.6266840504122</v>
      </c>
      <c r="H90" s="77" t="s">
        <v>375</v>
      </c>
      <c r="I90" s="78" t="s">
        <v>41</v>
      </c>
      <c r="J90" s="77">
        <v>59</v>
      </c>
      <c r="K90" s="77">
        <v>972</v>
      </c>
      <c r="L90" s="79">
        <v>184.08</v>
      </c>
      <c r="M90" s="79">
        <v>5.09</v>
      </c>
      <c r="N90" s="168">
        <f>173000*M90</f>
        <v>880570</v>
      </c>
      <c r="O90" s="91">
        <v>41701</v>
      </c>
      <c r="P90" s="69"/>
      <c r="Q90" s="69"/>
      <c r="R90" s="69"/>
      <c r="S90" s="69"/>
      <c r="T90" s="69"/>
      <c r="U90" s="69"/>
      <c r="V90" s="69"/>
      <c r="W90" s="69"/>
    </row>
    <row r="91" spans="1:23" s="72" customFormat="1" ht="33.6" customHeight="1" x14ac:dyDescent="0.25">
      <c r="A91" s="74">
        <v>769</v>
      </c>
      <c r="B91" s="75" t="s">
        <v>376</v>
      </c>
      <c r="C91" s="85">
        <v>2007</v>
      </c>
      <c r="D91" s="85" t="s">
        <v>46</v>
      </c>
      <c r="E91" s="85">
        <v>2014</v>
      </c>
      <c r="F91" s="75" t="s">
        <v>245</v>
      </c>
      <c r="G91" s="90">
        <f>99500*M91/L91</f>
        <v>2751.2766188613646</v>
      </c>
      <c r="H91" s="77" t="s">
        <v>377</v>
      </c>
      <c r="I91" s="78" t="s">
        <v>41</v>
      </c>
      <c r="J91" s="77">
        <v>60</v>
      </c>
      <c r="K91" s="77">
        <v>973</v>
      </c>
      <c r="L91" s="79">
        <v>184.08</v>
      </c>
      <c r="M91" s="79">
        <v>5.09</v>
      </c>
      <c r="N91" s="168">
        <f>99500*M91</f>
        <v>506455</v>
      </c>
      <c r="O91" s="91">
        <v>41701</v>
      </c>
      <c r="P91" s="69"/>
      <c r="Q91" s="69"/>
      <c r="R91" s="69"/>
      <c r="S91" s="69"/>
      <c r="T91" s="69"/>
      <c r="U91" s="69"/>
      <c r="V91" s="69"/>
      <c r="W91" s="69"/>
    </row>
    <row r="92" spans="1:23" s="72" customFormat="1" ht="34.200000000000003" customHeight="1" x14ac:dyDescent="0.25">
      <c r="A92" s="74"/>
      <c r="B92" s="75" t="s">
        <v>134</v>
      </c>
      <c r="C92" s="85">
        <v>2007</v>
      </c>
      <c r="D92" s="85" t="s">
        <v>46</v>
      </c>
      <c r="E92" s="85" t="s">
        <v>269</v>
      </c>
      <c r="F92" s="75" t="s">
        <v>245</v>
      </c>
      <c r="G92" s="90">
        <f>115950*M92/L92</f>
        <v>3206.1359191655802</v>
      </c>
      <c r="H92" s="77" t="s">
        <v>378</v>
      </c>
      <c r="I92" s="78" t="s">
        <v>41</v>
      </c>
      <c r="J92" s="77">
        <v>61</v>
      </c>
      <c r="K92" s="77">
        <v>974</v>
      </c>
      <c r="L92" s="79">
        <v>184.08</v>
      </c>
      <c r="M92" s="79">
        <v>5.09</v>
      </c>
      <c r="N92" s="168">
        <f>115950*M92</f>
        <v>590185.5</v>
      </c>
      <c r="O92" s="91">
        <v>41701</v>
      </c>
      <c r="P92" s="69"/>
      <c r="Q92" s="69"/>
      <c r="R92" s="69"/>
      <c r="S92" s="69"/>
      <c r="T92" s="69"/>
      <c r="U92" s="69"/>
      <c r="V92" s="69"/>
      <c r="W92" s="69"/>
    </row>
    <row r="93" spans="1:23" s="9" customFormat="1" ht="55.2" customHeight="1" x14ac:dyDescent="0.25">
      <c r="A93" s="74">
        <v>770</v>
      </c>
      <c r="B93" s="75" t="s">
        <v>379</v>
      </c>
      <c r="C93" s="85">
        <v>2009</v>
      </c>
      <c r="D93" s="85" t="s">
        <v>46</v>
      </c>
      <c r="E93" s="85">
        <v>2014</v>
      </c>
      <c r="F93" s="85" t="s">
        <v>293</v>
      </c>
      <c r="G93" s="90">
        <f>3125*M93/L93</f>
        <v>4286.5194480660575</v>
      </c>
      <c r="H93" s="77" t="s">
        <v>1273</v>
      </c>
      <c r="I93" s="78" t="s">
        <v>41</v>
      </c>
      <c r="J93" s="77">
        <v>62</v>
      </c>
      <c r="K93" s="77">
        <v>975</v>
      </c>
      <c r="L93" s="79">
        <v>184.08</v>
      </c>
      <c r="M93" s="79">
        <v>252.5</v>
      </c>
      <c r="N93" s="168">
        <f>3125*M93</f>
        <v>789062.5</v>
      </c>
      <c r="O93" s="91">
        <v>41701</v>
      </c>
      <c r="P93" s="68"/>
      <c r="Q93" s="69"/>
      <c r="R93" s="69"/>
      <c r="S93" s="69"/>
      <c r="T93" s="69"/>
      <c r="U93" s="69"/>
      <c r="V93" s="69"/>
      <c r="W93" s="69"/>
    </row>
    <row r="94" spans="1:23" s="9" customFormat="1" ht="53.25" customHeight="1" x14ac:dyDescent="0.25">
      <c r="A94" s="74">
        <v>771</v>
      </c>
      <c r="B94" s="75" t="s">
        <v>380</v>
      </c>
      <c r="C94" s="85">
        <v>2008</v>
      </c>
      <c r="D94" s="85" t="s">
        <v>46</v>
      </c>
      <c r="E94" s="85">
        <v>2014</v>
      </c>
      <c r="F94" s="93" t="s">
        <v>55</v>
      </c>
      <c r="G94" s="90">
        <f>59800*M94/L94</f>
        <v>1645.2701962073879</v>
      </c>
      <c r="H94" s="77" t="s">
        <v>381</v>
      </c>
      <c r="I94" s="78" t="s">
        <v>41</v>
      </c>
      <c r="J94" s="77">
        <v>63</v>
      </c>
      <c r="K94" s="77">
        <v>976</v>
      </c>
      <c r="L94" s="79">
        <v>182.46</v>
      </c>
      <c r="M94" s="79">
        <v>5.0199999999999996</v>
      </c>
      <c r="N94" s="168">
        <f>59800*M94</f>
        <v>300196</v>
      </c>
      <c r="O94" s="91">
        <v>41703</v>
      </c>
      <c r="P94" s="69"/>
      <c r="Q94" s="69"/>
      <c r="R94" s="69"/>
      <c r="S94" s="69"/>
      <c r="T94" s="69"/>
      <c r="U94" s="69"/>
      <c r="V94" s="69"/>
      <c r="W94" s="69"/>
    </row>
    <row r="95" spans="1:23" s="9" customFormat="1" ht="42" customHeight="1" x14ac:dyDescent="0.25">
      <c r="A95" s="74">
        <v>772</v>
      </c>
      <c r="B95" s="75" t="s">
        <v>382</v>
      </c>
      <c r="C95" s="85">
        <v>2009</v>
      </c>
      <c r="D95" s="85" t="s">
        <v>46</v>
      </c>
      <c r="E95" s="85">
        <v>2014</v>
      </c>
      <c r="F95" s="93" t="s">
        <v>47</v>
      </c>
      <c r="G95" s="90">
        <f>204120*M95/L95</f>
        <v>5615.928970733311</v>
      </c>
      <c r="H95" s="77" t="s">
        <v>132</v>
      </c>
      <c r="I95" s="78" t="s">
        <v>41</v>
      </c>
      <c r="J95" s="77">
        <v>64</v>
      </c>
      <c r="K95" s="77">
        <v>977</v>
      </c>
      <c r="L95" s="79">
        <v>182.46</v>
      </c>
      <c r="M95" s="79">
        <v>5.0199999999999996</v>
      </c>
      <c r="N95" s="168">
        <f>204120*M95</f>
        <v>1024682.3999999999</v>
      </c>
      <c r="O95" s="91">
        <v>41703</v>
      </c>
      <c r="P95" s="69"/>
      <c r="Q95" s="69"/>
      <c r="R95" s="69"/>
      <c r="S95" s="69"/>
      <c r="T95" s="69"/>
      <c r="U95" s="69"/>
      <c r="V95" s="69"/>
      <c r="W95" s="69"/>
    </row>
    <row r="96" spans="1:23" s="9" customFormat="1" ht="56.4" customHeight="1" x14ac:dyDescent="0.25">
      <c r="A96" s="74"/>
      <c r="B96" s="75" t="s">
        <v>56</v>
      </c>
      <c r="C96" s="85">
        <v>2009</v>
      </c>
      <c r="D96" s="85" t="s">
        <v>46</v>
      </c>
      <c r="E96" s="85" t="s">
        <v>383</v>
      </c>
      <c r="F96" s="93" t="s">
        <v>55</v>
      </c>
      <c r="G96" s="90">
        <f>105000*M96/L96</f>
        <v>2888.852351200263</v>
      </c>
      <c r="H96" s="77" t="s">
        <v>384</v>
      </c>
      <c r="I96" s="78" t="s">
        <v>41</v>
      </c>
      <c r="J96" s="77">
        <v>65</v>
      </c>
      <c r="K96" s="77">
        <v>978</v>
      </c>
      <c r="L96" s="79">
        <v>182.46</v>
      </c>
      <c r="M96" s="79">
        <v>5.0199999999999996</v>
      </c>
      <c r="N96" s="168">
        <f>105000*M96</f>
        <v>527100</v>
      </c>
      <c r="O96" s="91">
        <v>41703</v>
      </c>
      <c r="P96" s="69"/>
      <c r="Q96" s="69"/>
      <c r="R96" s="69"/>
      <c r="S96" s="69"/>
      <c r="T96" s="69"/>
      <c r="U96" s="69"/>
      <c r="V96" s="69"/>
      <c r="W96" s="69"/>
    </row>
    <row r="97" spans="1:23" s="9" customFormat="1" ht="52.2" customHeight="1" x14ac:dyDescent="0.25">
      <c r="A97" s="74"/>
      <c r="B97" s="75" t="s">
        <v>54</v>
      </c>
      <c r="C97" s="85">
        <v>2008</v>
      </c>
      <c r="D97" s="85" t="s">
        <v>46</v>
      </c>
      <c r="E97" s="85" t="s">
        <v>383</v>
      </c>
      <c r="F97" s="93" t="s">
        <v>55</v>
      </c>
      <c r="G97" s="90">
        <f>105000*M97/L97</f>
        <v>2888.852351200263</v>
      </c>
      <c r="H97" s="77" t="s">
        <v>384</v>
      </c>
      <c r="I97" s="78" t="s">
        <v>41</v>
      </c>
      <c r="J97" s="77">
        <v>66</v>
      </c>
      <c r="K97" s="77">
        <v>979</v>
      </c>
      <c r="L97" s="79">
        <v>182.46</v>
      </c>
      <c r="M97" s="79">
        <v>5.0199999999999996</v>
      </c>
      <c r="N97" s="168">
        <f>105000*M97</f>
        <v>527100</v>
      </c>
      <c r="O97" s="91">
        <v>41703</v>
      </c>
      <c r="P97" s="69"/>
      <c r="Q97" s="69"/>
      <c r="R97" s="69"/>
      <c r="S97" s="69"/>
      <c r="T97" s="69"/>
      <c r="U97" s="69"/>
      <c r="V97" s="69"/>
      <c r="W97" s="69"/>
    </row>
    <row r="98" spans="1:23" s="9" customFormat="1" ht="42" customHeight="1" x14ac:dyDescent="0.25">
      <c r="A98" s="74">
        <v>773</v>
      </c>
      <c r="B98" s="75" t="s">
        <v>385</v>
      </c>
      <c r="C98" s="85">
        <v>2013</v>
      </c>
      <c r="D98" s="85" t="s">
        <v>46</v>
      </c>
      <c r="E98" s="85">
        <v>2014</v>
      </c>
      <c r="F98" s="93" t="s">
        <v>47</v>
      </c>
      <c r="G98" s="90">
        <f>159650*M98/L98</f>
        <v>4392.4312178011614</v>
      </c>
      <c r="H98" s="77" t="s">
        <v>169</v>
      </c>
      <c r="I98" s="78" t="s">
        <v>41</v>
      </c>
      <c r="J98" s="77">
        <v>67</v>
      </c>
      <c r="K98" s="77">
        <v>980</v>
      </c>
      <c r="L98" s="79">
        <v>182.46</v>
      </c>
      <c r="M98" s="79">
        <v>5.0199999999999996</v>
      </c>
      <c r="N98" s="168">
        <f>159650*M98</f>
        <v>801442.99999999988</v>
      </c>
      <c r="O98" s="91">
        <v>41703</v>
      </c>
      <c r="P98" s="69"/>
      <c r="Q98" s="69"/>
      <c r="R98" s="69"/>
      <c r="S98" s="69"/>
      <c r="T98" s="69"/>
      <c r="U98" s="69"/>
      <c r="V98" s="69"/>
      <c r="W98" s="69"/>
    </row>
    <row r="99" spans="1:23" s="9" customFormat="1" ht="42" customHeight="1" x14ac:dyDescent="0.25">
      <c r="A99" s="74">
        <v>774</v>
      </c>
      <c r="B99" s="75" t="s">
        <v>386</v>
      </c>
      <c r="C99" s="85">
        <v>2011</v>
      </c>
      <c r="D99" s="85" t="s">
        <v>46</v>
      </c>
      <c r="E99" s="85">
        <v>2014</v>
      </c>
      <c r="F99" s="93" t="s">
        <v>47</v>
      </c>
      <c r="G99" s="90">
        <f>159650*M99/L99</f>
        <v>4392.4312178011614</v>
      </c>
      <c r="H99" s="77" t="s">
        <v>169</v>
      </c>
      <c r="I99" s="78" t="s">
        <v>41</v>
      </c>
      <c r="J99" s="77">
        <v>68</v>
      </c>
      <c r="K99" s="77">
        <v>981</v>
      </c>
      <c r="L99" s="79">
        <v>182.46</v>
      </c>
      <c r="M99" s="79">
        <v>5.0199999999999996</v>
      </c>
      <c r="N99" s="168">
        <f>159650*M99</f>
        <v>801442.99999999988</v>
      </c>
      <c r="O99" s="91">
        <v>41703</v>
      </c>
      <c r="P99" s="69"/>
      <c r="Q99" s="69"/>
      <c r="R99" s="69"/>
      <c r="S99" s="69"/>
      <c r="T99" s="69"/>
      <c r="U99" s="69"/>
      <c r="V99" s="69"/>
      <c r="W99" s="69"/>
    </row>
    <row r="100" spans="1:23" s="9" customFormat="1" ht="42" customHeight="1" x14ac:dyDescent="0.25">
      <c r="A100" s="74"/>
      <c r="B100" s="75" t="s">
        <v>387</v>
      </c>
      <c r="C100" s="85">
        <v>2006</v>
      </c>
      <c r="D100" s="85" t="s">
        <v>46</v>
      </c>
      <c r="E100" s="85" t="s">
        <v>269</v>
      </c>
      <c r="F100" s="93" t="s">
        <v>47</v>
      </c>
      <c r="G100" s="90">
        <f>191525*M100/L100</f>
        <v>5269.4042529869548</v>
      </c>
      <c r="H100" s="77" t="s">
        <v>388</v>
      </c>
      <c r="I100" s="78" t="s">
        <v>41</v>
      </c>
      <c r="J100" s="77">
        <v>69</v>
      </c>
      <c r="K100" s="77">
        <v>982</v>
      </c>
      <c r="L100" s="79">
        <v>182.46</v>
      </c>
      <c r="M100" s="79">
        <v>5.0199999999999996</v>
      </c>
      <c r="N100" s="168">
        <f>191525*M100</f>
        <v>961455.49999999988</v>
      </c>
      <c r="O100" s="91">
        <v>41703</v>
      </c>
      <c r="P100" s="69"/>
      <c r="Q100" s="69"/>
      <c r="R100" s="69"/>
      <c r="S100" s="69"/>
      <c r="T100" s="69"/>
      <c r="U100" s="69"/>
      <c r="V100" s="69"/>
      <c r="W100" s="69"/>
    </row>
    <row r="101" spans="1:23" s="9" customFormat="1" ht="42" customHeight="1" x14ac:dyDescent="0.25">
      <c r="A101" s="74"/>
      <c r="B101" s="75" t="s">
        <v>83</v>
      </c>
      <c r="C101" s="85">
        <v>2009</v>
      </c>
      <c r="D101" s="85" t="s">
        <v>46</v>
      </c>
      <c r="E101" s="85" t="s">
        <v>269</v>
      </c>
      <c r="F101" s="93" t="s">
        <v>47</v>
      </c>
      <c r="G101" s="90">
        <f>162940*M101/L101</f>
        <v>4482.9485914721026</v>
      </c>
      <c r="H101" s="77" t="s">
        <v>389</v>
      </c>
      <c r="I101" s="78" t="s">
        <v>41</v>
      </c>
      <c r="J101" s="77">
        <v>70</v>
      </c>
      <c r="K101" s="77">
        <v>983</v>
      </c>
      <c r="L101" s="79">
        <v>182.46</v>
      </c>
      <c r="M101" s="79">
        <v>5.0199999999999996</v>
      </c>
      <c r="N101" s="168">
        <f>162940*M101</f>
        <v>817958.79999999993</v>
      </c>
      <c r="O101" s="91">
        <v>41703</v>
      </c>
      <c r="P101" s="69"/>
      <c r="Q101" s="69"/>
      <c r="R101" s="69"/>
      <c r="S101" s="69"/>
      <c r="T101" s="69"/>
      <c r="U101" s="69"/>
      <c r="V101" s="69"/>
      <c r="W101" s="69"/>
    </row>
    <row r="102" spans="1:23" s="72" customFormat="1" ht="54" customHeight="1" x14ac:dyDescent="0.25">
      <c r="A102" s="74">
        <v>775</v>
      </c>
      <c r="B102" s="75" t="s">
        <v>390</v>
      </c>
      <c r="C102" s="85">
        <v>2013</v>
      </c>
      <c r="D102" s="85" t="s">
        <v>46</v>
      </c>
      <c r="E102" s="85">
        <v>2014</v>
      </c>
      <c r="F102" s="93" t="s">
        <v>14</v>
      </c>
      <c r="G102" s="90">
        <f>103475*M102/L102</f>
        <v>2846.8952099090207</v>
      </c>
      <c r="H102" s="77" t="s">
        <v>391</v>
      </c>
      <c r="I102" s="78" t="s">
        <v>41</v>
      </c>
      <c r="J102" s="77">
        <v>71</v>
      </c>
      <c r="K102" s="77">
        <v>984</v>
      </c>
      <c r="L102" s="79">
        <v>182.46</v>
      </c>
      <c r="M102" s="79">
        <v>5.0199999999999996</v>
      </c>
      <c r="N102" s="168">
        <f>103475*M102</f>
        <v>519444.49999999994</v>
      </c>
      <c r="O102" s="91">
        <v>41703</v>
      </c>
      <c r="P102" s="69"/>
      <c r="Q102" s="69"/>
      <c r="R102" s="69"/>
      <c r="S102" s="69"/>
      <c r="T102" s="69"/>
      <c r="U102" s="69"/>
      <c r="V102" s="69"/>
      <c r="W102" s="69"/>
    </row>
    <row r="103" spans="1:23" s="72" customFormat="1" ht="34.950000000000003" customHeight="1" x14ac:dyDescent="0.25">
      <c r="A103" s="74"/>
      <c r="B103" s="75" t="s">
        <v>161</v>
      </c>
      <c r="C103" s="85">
        <v>2009</v>
      </c>
      <c r="D103" s="85" t="s">
        <v>46</v>
      </c>
      <c r="E103" s="85" t="s">
        <v>383</v>
      </c>
      <c r="F103" s="75" t="s">
        <v>245</v>
      </c>
      <c r="G103" s="90">
        <f>124350*M103/L103</f>
        <v>3421.2265702071686</v>
      </c>
      <c r="H103" s="77" t="s">
        <v>392</v>
      </c>
      <c r="I103" s="78" t="s">
        <v>41</v>
      </c>
      <c r="J103" s="77">
        <v>72</v>
      </c>
      <c r="K103" s="77">
        <v>985</v>
      </c>
      <c r="L103" s="79">
        <v>182.46</v>
      </c>
      <c r="M103" s="79">
        <v>5.0199999999999996</v>
      </c>
      <c r="N103" s="168">
        <f>124350*M103</f>
        <v>624237</v>
      </c>
      <c r="O103" s="91">
        <v>41703</v>
      </c>
      <c r="P103" s="68"/>
      <c r="Q103" s="69"/>
      <c r="R103" s="69"/>
      <c r="S103" s="69"/>
      <c r="T103" s="69"/>
      <c r="U103" s="69"/>
      <c r="V103" s="69"/>
      <c r="W103" s="69"/>
    </row>
    <row r="104" spans="1:23" s="70" customFormat="1" ht="31.95" customHeight="1" x14ac:dyDescent="0.25">
      <c r="A104" s="74">
        <v>776</v>
      </c>
      <c r="B104" s="75" t="s">
        <v>393</v>
      </c>
      <c r="C104" s="85">
        <v>2010</v>
      </c>
      <c r="D104" s="85" t="s">
        <v>46</v>
      </c>
      <c r="E104" s="85">
        <v>2014</v>
      </c>
      <c r="F104" s="75" t="s">
        <v>330</v>
      </c>
      <c r="G104" s="90">
        <f>N104/L104</f>
        <v>870.23237969965999</v>
      </c>
      <c r="H104" s="77" t="s">
        <v>1296</v>
      </c>
      <c r="I104" s="78" t="s">
        <v>41</v>
      </c>
      <c r="J104" s="77">
        <v>73</v>
      </c>
      <c r="K104" s="77">
        <v>986</v>
      </c>
      <c r="L104" s="79">
        <v>182.46</v>
      </c>
      <c r="M104" s="79">
        <v>5.0199999999999996</v>
      </c>
      <c r="N104" s="168">
        <f>31630*M104</f>
        <v>158782.59999999998</v>
      </c>
      <c r="O104" s="91">
        <v>41703</v>
      </c>
      <c r="P104" s="69"/>
      <c r="Q104" s="69"/>
      <c r="R104" s="69"/>
      <c r="S104" s="69"/>
      <c r="T104" s="69"/>
      <c r="U104" s="69"/>
      <c r="V104" s="69"/>
      <c r="W104" s="69"/>
    </row>
    <row r="105" spans="1:23" s="72" customFormat="1" ht="55.2" customHeight="1" x14ac:dyDescent="0.25">
      <c r="A105" s="74"/>
      <c r="B105" s="75" t="s">
        <v>224</v>
      </c>
      <c r="C105" s="85">
        <v>2004</v>
      </c>
      <c r="D105" s="85" t="s">
        <v>46</v>
      </c>
      <c r="E105" s="85" t="s">
        <v>269</v>
      </c>
      <c r="F105" s="85" t="s">
        <v>293</v>
      </c>
      <c r="G105" s="90">
        <f>3894*M105/L105</f>
        <v>5355.9039789542912</v>
      </c>
      <c r="H105" s="77" t="s">
        <v>247</v>
      </c>
      <c r="I105" s="78" t="s">
        <v>41</v>
      </c>
      <c r="J105" s="77">
        <v>74</v>
      </c>
      <c r="K105" s="77">
        <v>987</v>
      </c>
      <c r="L105" s="79">
        <v>182.46</v>
      </c>
      <c r="M105" s="79">
        <v>250.96</v>
      </c>
      <c r="N105" s="168">
        <f>3894*M105</f>
        <v>977238.24</v>
      </c>
      <c r="O105" s="91">
        <v>41703</v>
      </c>
      <c r="P105" s="69"/>
      <c r="Q105" s="69"/>
      <c r="R105" s="69"/>
      <c r="S105" s="69"/>
      <c r="T105" s="69"/>
      <c r="U105" s="69"/>
      <c r="V105" s="69"/>
      <c r="W105" s="69"/>
    </row>
    <row r="106" spans="1:23" s="9" customFormat="1" ht="42" customHeight="1" x14ac:dyDescent="0.25">
      <c r="A106" s="74"/>
      <c r="B106" s="75" t="s">
        <v>15</v>
      </c>
      <c r="C106" s="85">
        <v>2010</v>
      </c>
      <c r="D106" s="75" t="s">
        <v>320</v>
      </c>
      <c r="E106" s="85" t="s">
        <v>394</v>
      </c>
      <c r="F106" s="75" t="s">
        <v>240</v>
      </c>
      <c r="G106" s="90">
        <v>7000</v>
      </c>
      <c r="H106" s="77" t="s">
        <v>213</v>
      </c>
      <c r="I106" s="78" t="s">
        <v>48</v>
      </c>
      <c r="J106" s="77">
        <v>75</v>
      </c>
      <c r="K106" s="77">
        <v>988</v>
      </c>
      <c r="L106" s="79">
        <v>181.78</v>
      </c>
      <c r="M106" s="79"/>
      <c r="N106" s="168">
        <f>G106*L106</f>
        <v>1272460</v>
      </c>
      <c r="O106" s="91">
        <v>41704</v>
      </c>
      <c r="P106" s="69"/>
      <c r="Q106" s="69"/>
      <c r="R106" s="69"/>
      <c r="S106" s="69"/>
      <c r="T106" s="69"/>
      <c r="U106" s="69"/>
      <c r="V106" s="69"/>
      <c r="W106" s="69"/>
    </row>
    <row r="107" spans="1:23" s="9" customFormat="1" ht="43.95" customHeight="1" x14ac:dyDescent="0.25">
      <c r="A107" s="74">
        <v>777</v>
      </c>
      <c r="B107" s="75" t="s">
        <v>395</v>
      </c>
      <c r="C107" s="85">
        <v>2005</v>
      </c>
      <c r="D107" s="85" t="s">
        <v>46</v>
      </c>
      <c r="E107" s="85">
        <v>2014</v>
      </c>
      <c r="F107" s="93" t="s">
        <v>296</v>
      </c>
      <c r="G107" s="90">
        <f>155000/L107</f>
        <v>852.67906260314669</v>
      </c>
      <c r="H107" s="77" t="s">
        <v>396</v>
      </c>
      <c r="I107" s="78" t="s">
        <v>41</v>
      </c>
      <c r="J107" s="77">
        <v>76</v>
      </c>
      <c r="K107" s="77">
        <v>989</v>
      </c>
      <c r="L107" s="79">
        <v>181.78</v>
      </c>
      <c r="M107" s="79"/>
      <c r="N107" s="168">
        <v>155000</v>
      </c>
      <c r="O107" s="91">
        <v>41704</v>
      </c>
      <c r="P107" s="69"/>
      <c r="Q107" s="69"/>
      <c r="R107" s="69"/>
      <c r="S107" s="69"/>
      <c r="T107" s="69"/>
      <c r="U107" s="69"/>
      <c r="V107" s="69"/>
      <c r="W107" s="69"/>
    </row>
    <row r="108" spans="1:23" s="9" customFormat="1" ht="74.400000000000006" customHeight="1" x14ac:dyDescent="0.25">
      <c r="A108" s="74"/>
      <c r="B108" s="75" t="s">
        <v>220</v>
      </c>
      <c r="C108" s="85">
        <v>2007</v>
      </c>
      <c r="D108" s="75" t="s">
        <v>221</v>
      </c>
      <c r="E108" s="85" t="s">
        <v>394</v>
      </c>
      <c r="F108" s="75" t="s">
        <v>243</v>
      </c>
      <c r="G108" s="90">
        <f>N108/L108</f>
        <v>1791.3603163270909</v>
      </c>
      <c r="H108" s="77" t="s">
        <v>1285</v>
      </c>
      <c r="I108" s="81" t="s">
        <v>41</v>
      </c>
      <c r="J108" s="77">
        <v>77</v>
      </c>
      <c r="K108" s="77">
        <v>990</v>
      </c>
      <c r="L108" s="79">
        <v>182.09</v>
      </c>
      <c r="M108" s="79">
        <v>5.04</v>
      </c>
      <c r="N108" s="168">
        <f>64720*M108</f>
        <v>326188.79999999999</v>
      </c>
      <c r="O108" s="91">
        <v>41705</v>
      </c>
      <c r="P108" s="69"/>
      <c r="Q108" s="69"/>
      <c r="R108" s="69"/>
      <c r="S108" s="69"/>
      <c r="T108" s="69"/>
      <c r="U108" s="69"/>
      <c r="V108" s="69"/>
      <c r="W108" s="69"/>
    </row>
    <row r="109" spans="1:23" s="9" customFormat="1" ht="42" customHeight="1" x14ac:dyDescent="0.25">
      <c r="A109" s="74">
        <v>778</v>
      </c>
      <c r="B109" s="75" t="s">
        <v>397</v>
      </c>
      <c r="C109" s="85">
        <v>2001</v>
      </c>
      <c r="D109" s="85" t="s">
        <v>46</v>
      </c>
      <c r="E109" s="85">
        <v>2014</v>
      </c>
      <c r="F109" s="75" t="s">
        <v>42</v>
      </c>
      <c r="G109" s="90">
        <f>20000*M109/L109</f>
        <v>553.57240924817393</v>
      </c>
      <c r="H109" s="77" t="s">
        <v>43</v>
      </c>
      <c r="I109" s="78" t="s">
        <v>41</v>
      </c>
      <c r="J109" s="77">
        <v>78</v>
      </c>
      <c r="K109" s="77">
        <v>991</v>
      </c>
      <c r="L109" s="79">
        <v>182.09</v>
      </c>
      <c r="M109" s="79">
        <v>5.04</v>
      </c>
      <c r="N109" s="168">
        <f>20000*M109</f>
        <v>100800</v>
      </c>
      <c r="O109" s="91">
        <v>41705</v>
      </c>
      <c r="P109" s="69"/>
      <c r="Q109" s="69"/>
      <c r="R109" s="69"/>
      <c r="S109" s="69"/>
      <c r="T109" s="69"/>
      <c r="U109" s="69"/>
      <c r="V109" s="69"/>
      <c r="W109" s="69"/>
    </row>
    <row r="110" spans="1:23" s="9" customFormat="1" ht="42" customHeight="1" x14ac:dyDescent="0.25">
      <c r="A110" s="74">
        <v>779</v>
      </c>
      <c r="B110" s="75" t="s">
        <v>398</v>
      </c>
      <c r="C110" s="85">
        <v>2007</v>
      </c>
      <c r="D110" s="85" t="s">
        <v>46</v>
      </c>
      <c r="E110" s="85">
        <v>2014</v>
      </c>
      <c r="F110" s="75" t="s">
        <v>42</v>
      </c>
      <c r="G110" s="90">
        <f>20000*M110/L110</f>
        <v>553.57240924817393</v>
      </c>
      <c r="H110" s="77" t="s">
        <v>43</v>
      </c>
      <c r="I110" s="78" t="s">
        <v>41</v>
      </c>
      <c r="J110" s="77">
        <v>79</v>
      </c>
      <c r="K110" s="77">
        <v>992</v>
      </c>
      <c r="L110" s="79">
        <v>182.09</v>
      </c>
      <c r="M110" s="79">
        <v>5.04</v>
      </c>
      <c r="N110" s="168">
        <f>20000*M110</f>
        <v>100800</v>
      </c>
      <c r="O110" s="91">
        <v>41705</v>
      </c>
      <c r="P110" s="69"/>
      <c r="Q110" s="69"/>
      <c r="R110" s="69"/>
      <c r="S110" s="69"/>
      <c r="T110" s="69"/>
      <c r="U110" s="69"/>
      <c r="V110" s="69"/>
      <c r="W110" s="69"/>
    </row>
    <row r="111" spans="1:23" s="9" customFormat="1" ht="42" customHeight="1" x14ac:dyDescent="0.25">
      <c r="A111" s="74">
        <v>780</v>
      </c>
      <c r="B111" s="75" t="s">
        <v>399</v>
      </c>
      <c r="C111" s="85">
        <v>2005</v>
      </c>
      <c r="D111" s="85" t="s">
        <v>46</v>
      </c>
      <c r="E111" s="85">
        <v>2014</v>
      </c>
      <c r="F111" s="75" t="s">
        <v>42</v>
      </c>
      <c r="G111" s="90">
        <f>20000*M111/L111</f>
        <v>553.57240924817393</v>
      </c>
      <c r="H111" s="77" t="s">
        <v>43</v>
      </c>
      <c r="I111" s="78" t="s">
        <v>41</v>
      </c>
      <c r="J111" s="77">
        <v>80</v>
      </c>
      <c r="K111" s="77">
        <v>993</v>
      </c>
      <c r="L111" s="79">
        <v>182.09</v>
      </c>
      <c r="M111" s="79">
        <v>5.04</v>
      </c>
      <c r="N111" s="168">
        <f>20000*M111</f>
        <v>100800</v>
      </c>
      <c r="O111" s="91">
        <v>41705</v>
      </c>
      <c r="P111" s="69"/>
      <c r="Q111" s="69"/>
      <c r="R111" s="69"/>
      <c r="S111" s="69"/>
      <c r="T111" s="69"/>
      <c r="U111" s="69"/>
      <c r="V111" s="69"/>
      <c r="W111" s="69"/>
    </row>
    <row r="112" spans="1:23" s="9" customFormat="1" ht="33.6" customHeight="1" x14ac:dyDescent="0.25">
      <c r="A112" s="74">
        <v>781</v>
      </c>
      <c r="B112" s="75" t="s">
        <v>400</v>
      </c>
      <c r="C112" s="85">
        <v>2011</v>
      </c>
      <c r="D112" s="85" t="s">
        <v>46</v>
      </c>
      <c r="E112" s="85">
        <v>2014</v>
      </c>
      <c r="F112" s="75" t="s">
        <v>242</v>
      </c>
      <c r="G112" s="90">
        <v>4190.1000000000004</v>
      </c>
      <c r="H112" s="77" t="s">
        <v>1218</v>
      </c>
      <c r="I112" s="78" t="s">
        <v>41</v>
      </c>
      <c r="J112" s="77">
        <v>81</v>
      </c>
      <c r="K112" s="77">
        <v>994</v>
      </c>
      <c r="L112" s="79">
        <v>182.07</v>
      </c>
      <c r="M112" s="79"/>
      <c r="N112" s="168">
        <f>G112*L112</f>
        <v>762891.50699999998</v>
      </c>
      <c r="O112" s="91">
        <v>41710</v>
      </c>
      <c r="P112" s="69"/>
      <c r="Q112" s="69"/>
      <c r="R112" s="69"/>
      <c r="S112" s="69"/>
      <c r="T112" s="69"/>
      <c r="U112" s="69"/>
      <c r="V112" s="69"/>
      <c r="W112" s="69"/>
    </row>
    <row r="113" spans="1:23" s="9" customFormat="1" ht="31.2" customHeight="1" x14ac:dyDescent="0.25">
      <c r="A113" s="220"/>
      <c r="B113" s="82" t="s">
        <v>188</v>
      </c>
      <c r="C113" s="82">
        <v>2012</v>
      </c>
      <c r="D113" s="82" t="s">
        <v>46</v>
      </c>
      <c r="E113" s="82" t="s">
        <v>394</v>
      </c>
      <c r="F113" s="82" t="s">
        <v>242</v>
      </c>
      <c r="G113" s="105">
        <v>9585.7999999999993</v>
      </c>
      <c r="H113" s="77" t="s">
        <v>102</v>
      </c>
      <c r="I113" s="78" t="s">
        <v>41</v>
      </c>
      <c r="J113" s="77">
        <v>82</v>
      </c>
      <c r="K113" s="77">
        <v>995</v>
      </c>
      <c r="L113" s="79">
        <v>182.07</v>
      </c>
      <c r="M113" s="79"/>
      <c r="N113" s="168">
        <f>9000*L113</f>
        <v>1638630</v>
      </c>
      <c r="O113" s="91">
        <v>41710</v>
      </c>
      <c r="P113" s="69"/>
      <c r="Q113" s="69"/>
      <c r="R113" s="69"/>
      <c r="S113" s="69"/>
      <c r="T113" s="69"/>
      <c r="U113" s="69"/>
      <c r="V113" s="69"/>
      <c r="W113" s="69"/>
    </row>
    <row r="114" spans="1:23" s="9" customFormat="1" ht="34.950000000000003" customHeight="1" x14ac:dyDescent="0.25">
      <c r="A114" s="221"/>
      <c r="B114" s="85"/>
      <c r="C114" s="85"/>
      <c r="D114" s="85"/>
      <c r="E114" s="85"/>
      <c r="F114" s="85"/>
      <c r="G114" s="122"/>
      <c r="H114" s="77" t="s">
        <v>1215</v>
      </c>
      <c r="I114" s="78" t="s">
        <v>41</v>
      </c>
      <c r="J114" s="77"/>
      <c r="K114" s="77"/>
      <c r="L114" s="79">
        <v>182.1</v>
      </c>
      <c r="M114" s="79"/>
      <c r="N114" s="168">
        <f>585.8*L114</f>
        <v>106674.18</v>
      </c>
      <c r="O114" s="91">
        <v>41712</v>
      </c>
      <c r="P114" s="69"/>
      <c r="Q114" s="69"/>
      <c r="R114" s="69"/>
      <c r="S114" s="69"/>
      <c r="T114" s="69"/>
      <c r="U114" s="69"/>
      <c r="V114" s="69"/>
      <c r="W114" s="69"/>
    </row>
    <row r="115" spans="1:23" s="9" customFormat="1" ht="34.200000000000003" customHeight="1" x14ac:dyDescent="0.25">
      <c r="A115" s="74">
        <v>782</v>
      </c>
      <c r="B115" s="75" t="s">
        <v>401</v>
      </c>
      <c r="C115" s="85">
        <v>2006</v>
      </c>
      <c r="D115" s="85" t="s">
        <v>46</v>
      </c>
      <c r="E115" s="85">
        <v>2014</v>
      </c>
      <c r="F115" s="75" t="s">
        <v>242</v>
      </c>
      <c r="G115" s="90">
        <v>4078.4</v>
      </c>
      <c r="H115" s="77" t="s">
        <v>1216</v>
      </c>
      <c r="I115" s="78" t="s">
        <v>41</v>
      </c>
      <c r="J115" s="77">
        <v>83</v>
      </c>
      <c r="K115" s="77">
        <v>996</v>
      </c>
      <c r="L115" s="79">
        <v>182.07</v>
      </c>
      <c r="M115" s="79"/>
      <c r="N115" s="168">
        <f>G115*L115</f>
        <v>742554.28799999994</v>
      </c>
      <c r="O115" s="91">
        <v>41710</v>
      </c>
      <c r="P115" s="69"/>
      <c r="Q115" s="69"/>
      <c r="R115" s="69"/>
      <c r="S115" s="69"/>
      <c r="T115" s="69"/>
      <c r="U115" s="69"/>
      <c r="V115" s="69"/>
      <c r="W115" s="69"/>
    </row>
    <row r="116" spans="1:23" s="9" customFormat="1" ht="33" customHeight="1" x14ac:dyDescent="0.25">
      <c r="A116" s="74">
        <v>783</v>
      </c>
      <c r="B116" s="75" t="s">
        <v>402</v>
      </c>
      <c r="C116" s="85">
        <v>2008</v>
      </c>
      <c r="D116" s="85" t="s">
        <v>46</v>
      </c>
      <c r="E116" s="85">
        <v>2014</v>
      </c>
      <c r="F116" s="75" t="s">
        <v>242</v>
      </c>
      <c r="G116" s="90">
        <v>5540</v>
      </c>
      <c r="H116" s="77" t="s">
        <v>1219</v>
      </c>
      <c r="I116" s="78" t="s">
        <v>41</v>
      </c>
      <c r="J116" s="77">
        <v>84</v>
      </c>
      <c r="K116" s="77">
        <v>997</v>
      </c>
      <c r="L116" s="79">
        <v>182.07</v>
      </c>
      <c r="M116" s="79"/>
      <c r="N116" s="168">
        <f>G116*L116</f>
        <v>1008667.7999999999</v>
      </c>
      <c r="O116" s="91">
        <v>41710</v>
      </c>
      <c r="P116" s="69"/>
      <c r="Q116" s="69"/>
      <c r="R116" s="69"/>
      <c r="S116" s="69"/>
      <c r="T116" s="69"/>
      <c r="U116" s="69"/>
      <c r="V116" s="69"/>
      <c r="W116" s="69"/>
    </row>
    <row r="117" spans="1:23" s="9" customFormat="1" ht="32.4" customHeight="1" x14ac:dyDescent="0.25">
      <c r="A117" s="74"/>
      <c r="B117" s="75" t="s">
        <v>206</v>
      </c>
      <c r="C117" s="85">
        <v>2007</v>
      </c>
      <c r="D117" s="85" t="s">
        <v>46</v>
      </c>
      <c r="E117" s="85" t="s">
        <v>394</v>
      </c>
      <c r="F117" s="78" t="s">
        <v>101</v>
      </c>
      <c r="G117" s="90">
        <v>2632</v>
      </c>
      <c r="H117" s="77" t="s">
        <v>403</v>
      </c>
      <c r="I117" s="78" t="s">
        <v>41</v>
      </c>
      <c r="J117" s="77">
        <v>85</v>
      </c>
      <c r="K117" s="77">
        <v>998</v>
      </c>
      <c r="L117" s="79">
        <v>182.07</v>
      </c>
      <c r="M117" s="79"/>
      <c r="N117" s="168">
        <f>G117*L117</f>
        <v>479208.24</v>
      </c>
      <c r="O117" s="91">
        <v>41710</v>
      </c>
      <c r="P117" s="69"/>
      <c r="Q117" s="69"/>
      <c r="R117" s="69"/>
      <c r="S117" s="69"/>
      <c r="T117" s="69"/>
      <c r="U117" s="69"/>
      <c r="V117" s="69"/>
      <c r="W117" s="69"/>
    </row>
    <row r="118" spans="1:23" s="72" customFormat="1" ht="69" customHeight="1" x14ac:dyDescent="0.25">
      <c r="A118" s="74">
        <v>784</v>
      </c>
      <c r="B118" s="75" t="s">
        <v>404</v>
      </c>
      <c r="C118" s="85">
        <v>2011</v>
      </c>
      <c r="D118" s="85" t="s">
        <v>406</v>
      </c>
      <c r="E118" s="85">
        <v>2014</v>
      </c>
      <c r="F118" s="94" t="s">
        <v>342</v>
      </c>
      <c r="G118" s="90">
        <f>347195*M118/L118</f>
        <v>9553.7263140550331</v>
      </c>
      <c r="H118" s="77" t="s">
        <v>405</v>
      </c>
      <c r="I118" s="92" t="s">
        <v>1187</v>
      </c>
      <c r="J118" s="77">
        <v>86</v>
      </c>
      <c r="K118" s="123">
        <v>999</v>
      </c>
      <c r="L118" s="79">
        <v>182.07</v>
      </c>
      <c r="M118" s="79">
        <v>5.01</v>
      </c>
      <c r="N118" s="168">
        <f>347195*M118</f>
        <v>1739446.95</v>
      </c>
      <c r="O118" s="91">
        <v>41710</v>
      </c>
      <c r="P118" s="69"/>
      <c r="Q118" s="69"/>
      <c r="R118" s="69"/>
      <c r="S118" s="69"/>
      <c r="T118" s="69"/>
      <c r="U118" s="69"/>
      <c r="V118" s="69"/>
      <c r="W118" s="69"/>
    </row>
    <row r="119" spans="1:23" s="9" customFormat="1" ht="42" customHeight="1" x14ac:dyDescent="0.25">
      <c r="A119" s="74"/>
      <c r="B119" s="75" t="s">
        <v>407</v>
      </c>
      <c r="C119" s="85">
        <v>1991</v>
      </c>
      <c r="D119" s="85" t="s">
        <v>409</v>
      </c>
      <c r="E119" s="85">
        <v>2014</v>
      </c>
      <c r="F119" s="94" t="s">
        <v>340</v>
      </c>
      <c r="G119" s="90">
        <v>6500</v>
      </c>
      <c r="H119" s="77" t="s">
        <v>408</v>
      </c>
      <c r="I119" s="92" t="s">
        <v>429</v>
      </c>
      <c r="J119" s="77">
        <v>87</v>
      </c>
      <c r="K119" s="123">
        <v>1000</v>
      </c>
      <c r="L119" s="79">
        <v>182.1</v>
      </c>
      <c r="M119" s="79"/>
      <c r="N119" s="168">
        <f>G119*L119</f>
        <v>1183650</v>
      </c>
      <c r="O119" s="91">
        <v>41712</v>
      </c>
      <c r="P119" s="69"/>
      <c r="Q119" s="69"/>
      <c r="R119" s="69"/>
      <c r="S119" s="69"/>
      <c r="T119" s="69"/>
      <c r="U119" s="69"/>
      <c r="V119" s="69"/>
      <c r="W119" s="69"/>
    </row>
    <row r="120" spans="1:23" s="9" customFormat="1" ht="42" customHeight="1" x14ac:dyDescent="0.25">
      <c r="A120" s="74">
        <v>785</v>
      </c>
      <c r="B120" s="75" t="s">
        <v>410</v>
      </c>
      <c r="C120" s="85">
        <v>2011</v>
      </c>
      <c r="D120" s="85" t="s">
        <v>46</v>
      </c>
      <c r="E120" s="85">
        <v>2014</v>
      </c>
      <c r="F120" s="85" t="s">
        <v>295</v>
      </c>
      <c r="G120" s="90">
        <f>153600*M120/L120</f>
        <v>4217.462932454695</v>
      </c>
      <c r="H120" s="77" t="s">
        <v>411</v>
      </c>
      <c r="I120" s="78" t="s">
        <v>41</v>
      </c>
      <c r="J120" s="77">
        <v>88</v>
      </c>
      <c r="K120" s="123">
        <v>1001</v>
      </c>
      <c r="L120" s="79">
        <v>182.1</v>
      </c>
      <c r="M120" s="79">
        <v>5</v>
      </c>
      <c r="N120" s="168">
        <f>153600*M120</f>
        <v>768000</v>
      </c>
      <c r="O120" s="91">
        <v>41712</v>
      </c>
      <c r="P120" s="69"/>
      <c r="Q120" s="69"/>
      <c r="R120" s="69"/>
      <c r="S120" s="69"/>
      <c r="T120" s="69"/>
      <c r="U120" s="69"/>
      <c r="V120" s="69"/>
      <c r="W120" s="69"/>
    </row>
    <row r="121" spans="1:23" s="9" customFormat="1" ht="42" customHeight="1" x14ac:dyDescent="0.25">
      <c r="A121" s="74"/>
      <c r="B121" s="75" t="s">
        <v>81</v>
      </c>
      <c r="C121" s="85">
        <v>2007</v>
      </c>
      <c r="D121" s="85" t="s">
        <v>46</v>
      </c>
      <c r="E121" s="85" t="s">
        <v>394</v>
      </c>
      <c r="F121" s="85" t="s">
        <v>295</v>
      </c>
      <c r="G121" s="90">
        <f>108500*M121/L121</f>
        <v>2979.1323448654584</v>
      </c>
      <c r="H121" s="77" t="s">
        <v>412</v>
      </c>
      <c r="I121" s="78" t="s">
        <v>41</v>
      </c>
      <c r="J121" s="77">
        <v>89</v>
      </c>
      <c r="K121" s="123">
        <v>1002</v>
      </c>
      <c r="L121" s="79">
        <v>182.1</v>
      </c>
      <c r="M121" s="79">
        <v>5</v>
      </c>
      <c r="N121" s="168">
        <f>108500*M121</f>
        <v>542500</v>
      </c>
      <c r="O121" s="91">
        <v>41712</v>
      </c>
      <c r="P121" s="69"/>
      <c r="Q121" s="69"/>
      <c r="R121" s="69"/>
      <c r="S121" s="69"/>
      <c r="T121" s="69"/>
      <c r="U121" s="69"/>
      <c r="V121" s="69"/>
      <c r="W121" s="69"/>
    </row>
    <row r="122" spans="1:23" s="9" customFormat="1" ht="42" customHeight="1" x14ac:dyDescent="0.25">
      <c r="A122" s="74">
        <v>786</v>
      </c>
      <c r="B122" s="75" t="s">
        <v>413</v>
      </c>
      <c r="C122" s="85">
        <v>2011</v>
      </c>
      <c r="D122" s="85" t="s">
        <v>46</v>
      </c>
      <c r="E122" s="85">
        <v>2014</v>
      </c>
      <c r="F122" s="85" t="s">
        <v>295</v>
      </c>
      <c r="G122" s="90">
        <f>178800*M122/L122</f>
        <v>4909.3904448105441</v>
      </c>
      <c r="H122" s="77" t="s">
        <v>414</v>
      </c>
      <c r="I122" s="78" t="s">
        <v>41</v>
      </c>
      <c r="J122" s="77">
        <v>90</v>
      </c>
      <c r="K122" s="123">
        <v>1003</v>
      </c>
      <c r="L122" s="79">
        <v>182.1</v>
      </c>
      <c r="M122" s="79">
        <v>5</v>
      </c>
      <c r="N122" s="168">
        <f>178800*M122</f>
        <v>894000</v>
      </c>
      <c r="O122" s="91">
        <v>41712</v>
      </c>
      <c r="P122" s="69"/>
      <c r="Q122" s="69"/>
      <c r="R122" s="69"/>
      <c r="S122" s="69"/>
      <c r="T122" s="69"/>
      <c r="U122" s="69"/>
      <c r="V122" s="69"/>
      <c r="W122" s="69"/>
    </row>
    <row r="123" spans="1:23" s="9" customFormat="1" ht="42" customHeight="1" x14ac:dyDescent="0.25">
      <c r="A123" s="74">
        <v>787</v>
      </c>
      <c r="B123" s="75" t="s">
        <v>415</v>
      </c>
      <c r="C123" s="85">
        <v>2007</v>
      </c>
      <c r="D123" s="85" t="s">
        <v>46</v>
      </c>
      <c r="E123" s="85">
        <v>2014</v>
      </c>
      <c r="F123" s="85" t="s">
        <v>295</v>
      </c>
      <c r="G123" s="90">
        <f>N123/L123</f>
        <v>3848.1603514552444</v>
      </c>
      <c r="H123" s="77" t="s">
        <v>1255</v>
      </c>
      <c r="I123" s="78" t="s">
        <v>41</v>
      </c>
      <c r="J123" s="77">
        <v>91</v>
      </c>
      <c r="K123" s="123">
        <v>1004</v>
      </c>
      <c r="L123" s="79">
        <v>182.1</v>
      </c>
      <c r="M123" s="79">
        <v>5</v>
      </c>
      <c r="N123" s="168">
        <f>140150*M123</f>
        <v>700750</v>
      </c>
      <c r="O123" s="91">
        <v>41712</v>
      </c>
      <c r="P123" s="69"/>
      <c r="Q123" s="69"/>
      <c r="R123" s="69"/>
      <c r="S123" s="69"/>
      <c r="T123" s="69"/>
      <c r="U123" s="69"/>
      <c r="V123" s="69"/>
      <c r="W123" s="69"/>
    </row>
    <row r="124" spans="1:23" s="9" customFormat="1" ht="42" customHeight="1" x14ac:dyDescent="0.25">
      <c r="A124" s="74">
        <v>788</v>
      </c>
      <c r="B124" s="75" t="s">
        <v>416</v>
      </c>
      <c r="C124" s="85">
        <v>2008</v>
      </c>
      <c r="D124" s="85" t="s">
        <v>46</v>
      </c>
      <c r="E124" s="85">
        <v>2014</v>
      </c>
      <c r="F124" s="85" t="s">
        <v>295</v>
      </c>
      <c r="G124" s="90">
        <f>N124/L124</f>
        <v>4279.2421746293248</v>
      </c>
      <c r="H124" s="77" t="s">
        <v>1254</v>
      </c>
      <c r="I124" s="78" t="s">
        <v>41</v>
      </c>
      <c r="J124" s="77">
        <v>92</v>
      </c>
      <c r="K124" s="123">
        <v>1005</v>
      </c>
      <c r="L124" s="79">
        <v>182.1</v>
      </c>
      <c r="M124" s="79">
        <v>5</v>
      </c>
      <c r="N124" s="168">
        <f>155850*M124</f>
        <v>779250</v>
      </c>
      <c r="O124" s="91">
        <v>41712</v>
      </c>
      <c r="P124" s="69"/>
      <c r="Q124" s="69"/>
      <c r="R124" s="69"/>
      <c r="S124" s="69"/>
      <c r="T124" s="69"/>
      <c r="U124" s="69"/>
      <c r="V124" s="69"/>
      <c r="W124" s="69"/>
    </row>
    <row r="125" spans="1:23" s="72" customFormat="1" ht="42" customHeight="1" x14ac:dyDescent="0.25">
      <c r="A125" s="74"/>
      <c r="B125" s="75" t="s">
        <v>229</v>
      </c>
      <c r="C125" s="85">
        <v>2011</v>
      </c>
      <c r="D125" s="75" t="s">
        <v>329</v>
      </c>
      <c r="E125" s="85" t="s">
        <v>394</v>
      </c>
      <c r="F125" s="75" t="s">
        <v>330</v>
      </c>
      <c r="G125" s="90">
        <f>N125/L125</f>
        <v>8110.5161998901704</v>
      </c>
      <c r="H125" s="77" t="s">
        <v>417</v>
      </c>
      <c r="I125" s="81" t="s">
        <v>428</v>
      </c>
      <c r="J125" s="77">
        <v>93</v>
      </c>
      <c r="K125" s="123">
        <v>1006</v>
      </c>
      <c r="L125" s="79">
        <v>182.1</v>
      </c>
      <c r="M125" s="79">
        <v>5</v>
      </c>
      <c r="N125" s="168">
        <f>295385*M125</f>
        <v>1476925</v>
      </c>
      <c r="O125" s="91">
        <v>41712</v>
      </c>
      <c r="P125" s="69"/>
      <c r="Q125" s="69"/>
      <c r="R125" s="69"/>
      <c r="S125" s="69"/>
      <c r="T125" s="69"/>
      <c r="U125" s="69"/>
      <c r="V125" s="69"/>
      <c r="W125" s="69"/>
    </row>
    <row r="126" spans="1:23" s="9" customFormat="1" ht="42" customHeight="1" x14ac:dyDescent="0.25">
      <c r="A126" s="74">
        <v>789</v>
      </c>
      <c r="B126" s="75" t="s">
        <v>418</v>
      </c>
      <c r="C126" s="85">
        <v>2009</v>
      </c>
      <c r="D126" s="85" t="s">
        <v>46</v>
      </c>
      <c r="E126" s="85">
        <v>2014</v>
      </c>
      <c r="F126" s="75" t="s">
        <v>322</v>
      </c>
      <c r="G126" s="90">
        <f>N126/L126</f>
        <v>1131.2465678198791</v>
      </c>
      <c r="H126" s="77" t="s">
        <v>1260</v>
      </c>
      <c r="I126" s="78" t="s">
        <v>41</v>
      </c>
      <c r="J126" s="77">
        <v>94</v>
      </c>
      <c r="K126" s="123">
        <v>1007</v>
      </c>
      <c r="L126" s="79">
        <v>182.1</v>
      </c>
      <c r="M126" s="79">
        <v>5</v>
      </c>
      <c r="N126" s="168">
        <f>41200*M126</f>
        <v>206000</v>
      </c>
      <c r="O126" s="91">
        <v>41712</v>
      </c>
      <c r="P126" s="69"/>
      <c r="Q126" s="69"/>
      <c r="R126" s="69"/>
      <c r="S126" s="69"/>
      <c r="T126" s="69"/>
      <c r="U126" s="69"/>
      <c r="V126" s="69"/>
      <c r="W126" s="69"/>
    </row>
    <row r="127" spans="1:23" s="72" customFormat="1" ht="58.95" customHeight="1" x14ac:dyDescent="0.25">
      <c r="A127" s="74">
        <v>790</v>
      </c>
      <c r="B127" s="75" t="s">
        <v>419</v>
      </c>
      <c r="C127" s="85">
        <v>2010</v>
      </c>
      <c r="D127" s="85" t="s">
        <v>46</v>
      </c>
      <c r="E127" s="85">
        <v>2014</v>
      </c>
      <c r="F127" s="85" t="s">
        <v>293</v>
      </c>
      <c r="G127" s="90">
        <f>3712*M127/L127</f>
        <v>5179.0655683690284</v>
      </c>
      <c r="H127" s="77" t="s">
        <v>248</v>
      </c>
      <c r="I127" s="78" t="s">
        <v>41</v>
      </c>
      <c r="J127" s="77">
        <v>95</v>
      </c>
      <c r="K127" s="123">
        <v>1008</v>
      </c>
      <c r="L127" s="79">
        <v>182.1</v>
      </c>
      <c r="M127" s="79">
        <v>254.07</v>
      </c>
      <c r="N127" s="168">
        <f>3712*M127</f>
        <v>943107.84</v>
      </c>
      <c r="O127" s="91">
        <v>41712</v>
      </c>
      <c r="P127" s="69"/>
      <c r="Q127" s="69"/>
      <c r="R127" s="69"/>
      <c r="S127" s="69"/>
      <c r="T127" s="69"/>
      <c r="U127" s="69"/>
      <c r="V127" s="69"/>
      <c r="W127" s="69"/>
    </row>
    <row r="128" spans="1:23" s="72" customFormat="1" ht="29.4" customHeight="1" x14ac:dyDescent="0.25">
      <c r="A128" s="220"/>
      <c r="B128" s="82" t="s">
        <v>151</v>
      </c>
      <c r="C128" s="82">
        <v>2009</v>
      </c>
      <c r="D128" s="82" t="s">
        <v>406</v>
      </c>
      <c r="E128" s="82">
        <v>2014</v>
      </c>
      <c r="F128" s="246" t="s">
        <v>163</v>
      </c>
      <c r="G128" s="90">
        <f>312185*M128/L128</f>
        <v>8571.8012081274028</v>
      </c>
      <c r="H128" s="77" t="s">
        <v>420</v>
      </c>
      <c r="I128" s="92" t="s">
        <v>429</v>
      </c>
      <c r="J128" s="77">
        <v>96</v>
      </c>
      <c r="K128" s="123">
        <v>1009</v>
      </c>
      <c r="L128" s="79">
        <v>182.1</v>
      </c>
      <c r="M128" s="79">
        <v>5</v>
      </c>
      <c r="N128" s="168">
        <f>312185*M128</f>
        <v>1560925</v>
      </c>
      <c r="O128" s="91">
        <v>41712</v>
      </c>
      <c r="P128" s="69"/>
      <c r="Q128" s="69"/>
      <c r="R128" s="69"/>
      <c r="S128" s="69"/>
      <c r="T128" s="69"/>
      <c r="U128" s="69"/>
      <c r="V128" s="69"/>
      <c r="W128" s="69"/>
    </row>
    <row r="129" spans="1:23" s="70" customFormat="1" ht="28.95" customHeight="1" x14ac:dyDescent="0.25">
      <c r="A129" s="221"/>
      <c r="B129" s="85"/>
      <c r="C129" s="85"/>
      <c r="D129" s="85"/>
      <c r="E129" s="101"/>
      <c r="F129" s="247"/>
      <c r="G129" s="90">
        <f>N129/L129</f>
        <v>4667.9517298187811</v>
      </c>
      <c r="H129" s="77" t="s">
        <v>1294</v>
      </c>
      <c r="I129" s="92" t="s">
        <v>429</v>
      </c>
      <c r="J129" s="77"/>
      <c r="K129" s="123"/>
      <c r="L129" s="79">
        <v>182.1</v>
      </c>
      <c r="M129" s="79">
        <v>4.97</v>
      </c>
      <c r="N129" s="168">
        <f>171033*M129</f>
        <v>850034.01</v>
      </c>
      <c r="O129" s="91">
        <v>41715</v>
      </c>
      <c r="P129" s="69"/>
      <c r="Q129" s="69"/>
      <c r="R129" s="69"/>
      <c r="S129" s="69"/>
      <c r="T129" s="69"/>
      <c r="U129" s="69"/>
      <c r="V129" s="69"/>
      <c r="W129" s="69"/>
    </row>
    <row r="130" spans="1:23" s="9" customFormat="1" ht="42" customHeight="1" x14ac:dyDescent="0.25">
      <c r="A130" s="74"/>
      <c r="B130" s="75" t="s">
        <v>170</v>
      </c>
      <c r="C130" s="85">
        <v>2007</v>
      </c>
      <c r="D130" s="85" t="s">
        <v>46</v>
      </c>
      <c r="E130" s="85" t="s">
        <v>394</v>
      </c>
      <c r="F130" s="93" t="s">
        <v>47</v>
      </c>
      <c r="G130" s="90">
        <f>190585*M130/L130</f>
        <v>5232.9763866007688</v>
      </c>
      <c r="H130" s="77" t="s">
        <v>421</v>
      </c>
      <c r="I130" s="78" t="s">
        <v>41</v>
      </c>
      <c r="J130" s="77">
        <v>97</v>
      </c>
      <c r="K130" s="123">
        <v>1010</v>
      </c>
      <c r="L130" s="79">
        <v>182.1</v>
      </c>
      <c r="M130" s="79">
        <v>5</v>
      </c>
      <c r="N130" s="168">
        <f>190585*M130</f>
        <v>952925</v>
      </c>
      <c r="O130" s="91">
        <v>41712</v>
      </c>
      <c r="P130" s="69"/>
      <c r="Q130" s="69"/>
      <c r="R130" s="69"/>
      <c r="S130" s="69"/>
      <c r="T130" s="69"/>
      <c r="U130" s="69"/>
      <c r="V130" s="69"/>
      <c r="W130" s="69"/>
    </row>
    <row r="131" spans="1:23" s="9" customFormat="1" ht="66.75" customHeight="1" x14ac:dyDescent="0.25">
      <c r="A131" s="74">
        <v>791</v>
      </c>
      <c r="B131" s="75" t="s">
        <v>422</v>
      </c>
      <c r="C131" s="85">
        <v>2011</v>
      </c>
      <c r="D131" s="85" t="s">
        <v>104</v>
      </c>
      <c r="E131" s="85">
        <v>2014</v>
      </c>
      <c r="F131" s="120" t="s">
        <v>423</v>
      </c>
      <c r="G131" s="90">
        <v>9000</v>
      </c>
      <c r="H131" s="77" t="s">
        <v>102</v>
      </c>
      <c r="I131" s="81" t="s">
        <v>1335</v>
      </c>
      <c r="J131" s="77">
        <v>98</v>
      </c>
      <c r="K131" s="123">
        <v>1011</v>
      </c>
      <c r="L131" s="79">
        <v>182.1</v>
      </c>
      <c r="M131" s="79"/>
      <c r="N131" s="168">
        <f>G131*L131</f>
        <v>1638900</v>
      </c>
      <c r="O131" s="91">
        <v>41712</v>
      </c>
      <c r="P131" s="69"/>
      <c r="Q131" s="69"/>
      <c r="R131" s="69"/>
      <c r="S131" s="69"/>
      <c r="T131" s="69"/>
      <c r="U131" s="69"/>
      <c r="V131" s="69"/>
      <c r="W131" s="69"/>
    </row>
    <row r="132" spans="1:23" s="9" customFormat="1" ht="43.95" customHeight="1" x14ac:dyDescent="0.25">
      <c r="A132" s="74">
        <v>792</v>
      </c>
      <c r="B132" s="75" t="s">
        <v>424</v>
      </c>
      <c r="C132" s="85">
        <v>2011</v>
      </c>
      <c r="D132" s="85" t="s">
        <v>46</v>
      </c>
      <c r="E132" s="85">
        <v>2014</v>
      </c>
      <c r="F132" s="93" t="s">
        <v>296</v>
      </c>
      <c r="G132" s="90">
        <f>450000/L132</f>
        <v>2471.169686985173</v>
      </c>
      <c r="H132" s="77" t="s">
        <v>425</v>
      </c>
      <c r="I132" s="78" t="s">
        <v>41</v>
      </c>
      <c r="J132" s="77">
        <v>99</v>
      </c>
      <c r="K132" s="123">
        <v>1012</v>
      </c>
      <c r="L132" s="79">
        <v>182.1</v>
      </c>
      <c r="M132" s="79"/>
      <c r="N132" s="168">
        <v>450000</v>
      </c>
      <c r="O132" s="91">
        <v>41712</v>
      </c>
      <c r="P132" s="69"/>
      <c r="Q132" s="69"/>
      <c r="R132" s="69"/>
      <c r="S132" s="69"/>
      <c r="T132" s="69"/>
      <c r="U132" s="69"/>
      <c r="V132" s="69"/>
      <c r="W132" s="69"/>
    </row>
    <row r="133" spans="1:23" ht="43.95" customHeight="1" x14ac:dyDescent="0.25">
      <c r="A133" s="74">
        <v>793</v>
      </c>
      <c r="B133" s="75" t="s">
        <v>426</v>
      </c>
      <c r="C133" s="85">
        <v>2011</v>
      </c>
      <c r="D133" s="85" t="s">
        <v>46</v>
      </c>
      <c r="E133" s="85">
        <v>2014</v>
      </c>
      <c r="F133" s="93" t="s">
        <v>296</v>
      </c>
      <c r="G133" s="77">
        <f>450000/L133</f>
        <v>2471.169686985173</v>
      </c>
      <c r="H133" s="77" t="s">
        <v>425</v>
      </c>
      <c r="I133" s="78" t="s">
        <v>41</v>
      </c>
      <c r="J133" s="79">
        <v>100</v>
      </c>
      <c r="K133" s="124">
        <v>1013</v>
      </c>
      <c r="L133" s="125" t="s">
        <v>427</v>
      </c>
      <c r="M133" s="125"/>
      <c r="N133" s="168">
        <v>450000</v>
      </c>
      <c r="O133" s="91">
        <v>41712</v>
      </c>
      <c r="P133" s="69"/>
      <c r="Q133" s="69"/>
      <c r="R133" s="69"/>
      <c r="S133" s="69"/>
      <c r="T133" s="69"/>
      <c r="U133" s="69"/>
      <c r="V133" s="69"/>
      <c r="W133" s="69"/>
    </row>
    <row r="134" spans="1:23" ht="31.2" customHeight="1" x14ac:dyDescent="0.25">
      <c r="A134" s="126"/>
      <c r="B134" s="75" t="s">
        <v>422</v>
      </c>
      <c r="C134" s="75">
        <v>2011</v>
      </c>
      <c r="D134" s="85" t="s">
        <v>104</v>
      </c>
      <c r="E134" s="75" t="s">
        <v>435</v>
      </c>
      <c r="F134" s="120" t="s">
        <v>423</v>
      </c>
      <c r="G134" s="77">
        <v>4000</v>
      </c>
      <c r="H134" s="77" t="s">
        <v>258</v>
      </c>
      <c r="I134" s="92" t="s">
        <v>429</v>
      </c>
      <c r="J134" s="79">
        <v>101</v>
      </c>
      <c r="K134" s="124">
        <v>1014</v>
      </c>
      <c r="L134" s="125" t="s">
        <v>427</v>
      </c>
      <c r="M134" s="125"/>
      <c r="N134" s="168">
        <f>G134*L134</f>
        <v>728400</v>
      </c>
      <c r="O134" s="91">
        <v>41715</v>
      </c>
      <c r="P134" s="69"/>
      <c r="Q134" s="69"/>
      <c r="R134" s="69"/>
      <c r="S134" s="69"/>
      <c r="T134" s="69"/>
      <c r="U134" s="69"/>
      <c r="V134" s="69"/>
      <c r="W134" s="69"/>
    </row>
    <row r="135" spans="1:23" s="72" customFormat="1" ht="35.4" customHeight="1" x14ac:dyDescent="0.25">
      <c r="A135" s="126"/>
      <c r="B135" s="75" t="s">
        <v>253</v>
      </c>
      <c r="C135" s="75">
        <v>2011</v>
      </c>
      <c r="D135" s="85" t="s">
        <v>46</v>
      </c>
      <c r="E135" s="75" t="s">
        <v>436</v>
      </c>
      <c r="F135" s="75" t="s">
        <v>245</v>
      </c>
      <c r="G135" s="77">
        <f>119700*M135/L135</f>
        <v>3266.9357495881386</v>
      </c>
      <c r="H135" s="77" t="s">
        <v>437</v>
      </c>
      <c r="I135" s="78" t="s">
        <v>41</v>
      </c>
      <c r="J135" s="79">
        <v>102</v>
      </c>
      <c r="K135" s="124">
        <v>1015</v>
      </c>
      <c r="L135" s="125" t="s">
        <v>427</v>
      </c>
      <c r="M135" s="125" t="s">
        <v>438</v>
      </c>
      <c r="N135" s="168">
        <f>119700*M135</f>
        <v>594909</v>
      </c>
      <c r="O135" s="91">
        <v>41715</v>
      </c>
      <c r="P135" s="69"/>
      <c r="Q135" s="69"/>
      <c r="R135" s="69"/>
      <c r="S135" s="69"/>
      <c r="T135" s="69"/>
      <c r="U135" s="69"/>
      <c r="V135" s="69"/>
      <c r="W135" s="69"/>
    </row>
    <row r="136" spans="1:23" ht="30" customHeight="1" x14ac:dyDescent="0.25">
      <c r="A136" s="126"/>
      <c r="B136" s="75" t="s">
        <v>93</v>
      </c>
      <c r="C136" s="75">
        <v>2007</v>
      </c>
      <c r="D136" s="85" t="s">
        <v>46</v>
      </c>
      <c r="E136" s="75" t="s">
        <v>436</v>
      </c>
      <c r="F136" s="75" t="s">
        <v>208</v>
      </c>
      <c r="G136" s="123">
        <f>198000*M136/L136</f>
        <v>5403.9538714991768</v>
      </c>
      <c r="H136" s="77" t="s">
        <v>199</v>
      </c>
      <c r="I136" s="78" t="s">
        <v>41</v>
      </c>
      <c r="J136" s="79">
        <v>103</v>
      </c>
      <c r="K136" s="124">
        <v>1016</v>
      </c>
      <c r="L136" s="125" t="s">
        <v>427</v>
      </c>
      <c r="M136" s="125" t="s">
        <v>438</v>
      </c>
      <c r="N136" s="168">
        <f>198000*M136</f>
        <v>984060</v>
      </c>
      <c r="O136" s="91">
        <v>41715</v>
      </c>
      <c r="P136" s="69"/>
      <c r="Q136" s="69"/>
      <c r="R136" s="69"/>
      <c r="S136" s="69"/>
      <c r="T136" s="69"/>
      <c r="U136" s="69"/>
      <c r="V136" s="69"/>
      <c r="W136" s="69"/>
    </row>
    <row r="137" spans="1:23" ht="42" customHeight="1" x14ac:dyDescent="0.25">
      <c r="A137" s="126">
        <v>794</v>
      </c>
      <c r="B137" s="75" t="s">
        <v>439</v>
      </c>
      <c r="C137" s="75">
        <v>2012</v>
      </c>
      <c r="D137" s="85" t="s">
        <v>46</v>
      </c>
      <c r="E137" s="75">
        <v>2014</v>
      </c>
      <c r="F137" s="85" t="s">
        <v>295</v>
      </c>
      <c r="G137" s="123">
        <f>111100*M137/L137</f>
        <v>3032.2185612300937</v>
      </c>
      <c r="H137" s="77" t="s">
        <v>440</v>
      </c>
      <c r="I137" s="78" t="s">
        <v>41</v>
      </c>
      <c r="J137" s="79">
        <v>104</v>
      </c>
      <c r="K137" s="124">
        <v>1017</v>
      </c>
      <c r="L137" s="125" t="s">
        <v>427</v>
      </c>
      <c r="M137" s="125" t="s">
        <v>438</v>
      </c>
      <c r="N137" s="168">
        <f>111100*M137</f>
        <v>552167</v>
      </c>
      <c r="O137" s="91">
        <v>41715</v>
      </c>
      <c r="P137" s="69"/>
      <c r="Q137" s="69"/>
      <c r="R137" s="69"/>
      <c r="S137" s="69"/>
      <c r="T137" s="69"/>
      <c r="U137" s="69"/>
      <c r="V137" s="69"/>
      <c r="W137" s="69"/>
    </row>
    <row r="138" spans="1:23" ht="40.950000000000003" customHeight="1" x14ac:dyDescent="0.25">
      <c r="A138" s="126">
        <v>795</v>
      </c>
      <c r="B138" s="75" t="s">
        <v>442</v>
      </c>
      <c r="C138" s="75">
        <v>2007</v>
      </c>
      <c r="D138" s="85" t="s">
        <v>46</v>
      </c>
      <c r="E138" s="75">
        <v>2014</v>
      </c>
      <c r="F138" s="85" t="s">
        <v>295</v>
      </c>
      <c r="G138" s="123">
        <f>187000*M138/L138</f>
        <v>5103.734211971444</v>
      </c>
      <c r="H138" s="77" t="s">
        <v>443</v>
      </c>
      <c r="I138" s="78" t="s">
        <v>41</v>
      </c>
      <c r="J138" s="79">
        <v>105</v>
      </c>
      <c r="K138" s="124">
        <v>1018</v>
      </c>
      <c r="L138" s="125" t="s">
        <v>427</v>
      </c>
      <c r="M138" s="125" t="s">
        <v>438</v>
      </c>
      <c r="N138" s="168">
        <f>187000*M138</f>
        <v>929390</v>
      </c>
      <c r="O138" s="91">
        <v>41715</v>
      </c>
      <c r="P138" s="69"/>
      <c r="Q138" s="69"/>
      <c r="R138" s="69"/>
      <c r="S138" s="69"/>
      <c r="T138" s="69"/>
      <c r="U138" s="69"/>
      <c r="V138" s="69"/>
      <c r="W138" s="69"/>
    </row>
    <row r="139" spans="1:23" ht="34.200000000000003" customHeight="1" x14ac:dyDescent="0.25">
      <c r="A139" s="126"/>
      <c r="B139" s="75" t="s">
        <v>52</v>
      </c>
      <c r="C139" s="75">
        <v>2006</v>
      </c>
      <c r="D139" s="85" t="s">
        <v>46</v>
      </c>
      <c r="E139" s="75" t="s">
        <v>444</v>
      </c>
      <c r="F139" s="85" t="s">
        <v>452</v>
      </c>
      <c r="G139" s="123">
        <f>39650*M139/L139</f>
        <v>1082.1554091158705</v>
      </c>
      <c r="H139" s="77" t="s">
        <v>445</v>
      </c>
      <c r="I139" s="78" t="s">
        <v>41</v>
      </c>
      <c r="J139" s="79">
        <v>106</v>
      </c>
      <c r="K139" s="124">
        <v>1019</v>
      </c>
      <c r="L139" s="125" t="s">
        <v>427</v>
      </c>
      <c r="M139" s="125" t="s">
        <v>438</v>
      </c>
      <c r="N139" s="168">
        <f>39650*M139</f>
        <v>197060.5</v>
      </c>
      <c r="O139" s="91">
        <v>41715</v>
      </c>
      <c r="P139" s="69"/>
      <c r="Q139" s="69"/>
      <c r="R139" s="69"/>
      <c r="S139" s="69"/>
      <c r="T139" s="69"/>
      <c r="U139" s="69"/>
      <c r="V139" s="69"/>
      <c r="W139" s="69"/>
    </row>
    <row r="140" spans="1:23" ht="34.950000000000003" customHeight="1" x14ac:dyDescent="0.25">
      <c r="A140" s="126">
        <v>796</v>
      </c>
      <c r="B140" s="75" t="s">
        <v>446</v>
      </c>
      <c r="C140" s="75">
        <v>2013</v>
      </c>
      <c r="D140" s="85" t="s">
        <v>46</v>
      </c>
      <c r="E140" s="75">
        <v>2014</v>
      </c>
      <c r="F140" s="82" t="s">
        <v>242</v>
      </c>
      <c r="G140" s="123">
        <v>5871</v>
      </c>
      <c r="H140" s="77" t="s">
        <v>1217</v>
      </c>
      <c r="I140" s="78" t="s">
        <v>41</v>
      </c>
      <c r="J140" s="79">
        <v>107</v>
      </c>
      <c r="K140" s="124">
        <v>1020</v>
      </c>
      <c r="L140" s="125" t="s">
        <v>427</v>
      </c>
      <c r="M140" s="125"/>
      <c r="N140" s="168">
        <f>G140*L140</f>
        <v>1069109.0999999999</v>
      </c>
      <c r="O140" s="91">
        <v>41715</v>
      </c>
      <c r="P140" s="69"/>
      <c r="Q140" s="69"/>
      <c r="R140" s="69"/>
      <c r="S140" s="69"/>
      <c r="T140" s="69"/>
      <c r="U140" s="69"/>
      <c r="V140" s="69"/>
      <c r="W140" s="69"/>
    </row>
    <row r="141" spans="1:23" s="72" customFormat="1" ht="52.95" customHeight="1" x14ac:dyDescent="0.25">
      <c r="A141" s="126">
        <v>797</v>
      </c>
      <c r="B141" s="75" t="s">
        <v>447</v>
      </c>
      <c r="C141" s="75">
        <v>2011</v>
      </c>
      <c r="D141" s="85" t="s">
        <v>46</v>
      </c>
      <c r="E141" s="75">
        <v>2014</v>
      </c>
      <c r="F141" s="75" t="s">
        <v>293</v>
      </c>
      <c r="G141" s="123">
        <f>3400*M141/L141</f>
        <v>4727.9907722728767</v>
      </c>
      <c r="H141" s="77" t="s">
        <v>246</v>
      </c>
      <c r="I141" s="78" t="s">
        <v>41</v>
      </c>
      <c r="J141" s="79">
        <v>108</v>
      </c>
      <c r="K141" s="124">
        <v>1021</v>
      </c>
      <c r="L141" s="125" t="s">
        <v>448</v>
      </c>
      <c r="M141" s="125" t="s">
        <v>449</v>
      </c>
      <c r="N141" s="168">
        <f>3400*M141</f>
        <v>860778</v>
      </c>
      <c r="O141" s="91">
        <v>41716</v>
      </c>
      <c r="P141" s="69"/>
      <c r="Q141" s="69"/>
      <c r="R141" s="69"/>
      <c r="S141" s="69"/>
      <c r="T141" s="69"/>
      <c r="U141" s="69"/>
      <c r="V141" s="69"/>
      <c r="W141" s="69"/>
    </row>
    <row r="142" spans="1:23" ht="30" customHeight="1" x14ac:dyDescent="0.25">
      <c r="A142" s="126"/>
      <c r="B142" s="75" t="s">
        <v>61</v>
      </c>
      <c r="C142" s="75">
        <v>2009</v>
      </c>
      <c r="D142" s="127" t="s">
        <v>355</v>
      </c>
      <c r="E142" s="75">
        <v>2014</v>
      </c>
      <c r="F142" s="120" t="s">
        <v>423</v>
      </c>
      <c r="G142" s="123">
        <v>5000</v>
      </c>
      <c r="H142" s="77" t="s">
        <v>273</v>
      </c>
      <c r="I142" s="78" t="s">
        <v>48</v>
      </c>
      <c r="J142" s="79">
        <v>109</v>
      </c>
      <c r="K142" s="124">
        <v>1022</v>
      </c>
      <c r="L142" s="125" t="s">
        <v>448</v>
      </c>
      <c r="M142" s="125"/>
      <c r="N142" s="168">
        <f>G142*L142</f>
        <v>910300</v>
      </c>
      <c r="O142" s="91">
        <v>41716</v>
      </c>
      <c r="P142" s="69"/>
      <c r="Q142" s="69"/>
      <c r="R142" s="69"/>
      <c r="S142" s="69"/>
      <c r="T142" s="69"/>
      <c r="U142" s="69"/>
      <c r="V142" s="69"/>
      <c r="W142" s="69"/>
    </row>
    <row r="143" spans="1:23" ht="42" customHeight="1" x14ac:dyDescent="0.25">
      <c r="A143" s="126">
        <v>798</v>
      </c>
      <c r="B143" s="75" t="s">
        <v>450</v>
      </c>
      <c r="C143" s="75">
        <v>2004</v>
      </c>
      <c r="D143" s="75" t="s">
        <v>451</v>
      </c>
      <c r="E143" s="75">
        <v>2014</v>
      </c>
      <c r="F143" s="93" t="s">
        <v>49</v>
      </c>
      <c r="G143" s="123">
        <f>33950*M143/L143</f>
        <v>924.92584862133367</v>
      </c>
      <c r="H143" s="77" t="s">
        <v>453</v>
      </c>
      <c r="I143" s="78" t="s">
        <v>41</v>
      </c>
      <c r="J143" s="79">
        <v>110</v>
      </c>
      <c r="K143" s="124">
        <v>1023</v>
      </c>
      <c r="L143" s="125" t="s">
        <v>448</v>
      </c>
      <c r="M143" s="125" t="s">
        <v>454</v>
      </c>
      <c r="N143" s="168">
        <f>33950*M143</f>
        <v>168392</v>
      </c>
      <c r="O143" s="91">
        <v>41716</v>
      </c>
      <c r="P143" s="69"/>
      <c r="Q143" s="69"/>
      <c r="R143" s="69"/>
      <c r="S143" s="69"/>
      <c r="T143" s="69"/>
      <c r="U143" s="69"/>
      <c r="V143" s="69"/>
      <c r="W143" s="69"/>
    </row>
    <row r="144" spans="1:23" s="72" customFormat="1" ht="34.950000000000003" customHeight="1" x14ac:dyDescent="0.25">
      <c r="A144" s="126"/>
      <c r="B144" s="75" t="s">
        <v>393</v>
      </c>
      <c r="C144" s="75">
        <v>2010</v>
      </c>
      <c r="D144" s="85" t="s">
        <v>46</v>
      </c>
      <c r="E144" s="75" t="s">
        <v>455</v>
      </c>
      <c r="F144" s="75" t="s">
        <v>330</v>
      </c>
      <c r="G144" s="123">
        <f>68000.17*M144/L144</f>
        <v>1860.0507887509614</v>
      </c>
      <c r="H144" s="77" t="s">
        <v>456</v>
      </c>
      <c r="I144" s="78" t="s">
        <v>41</v>
      </c>
      <c r="J144" s="79">
        <v>111</v>
      </c>
      <c r="K144" s="124">
        <v>1024</v>
      </c>
      <c r="L144" s="125" t="s">
        <v>448</v>
      </c>
      <c r="M144" s="125" t="s">
        <v>441</v>
      </c>
      <c r="N144" s="168">
        <f>68000.17*M144</f>
        <v>338640.84660000005</v>
      </c>
      <c r="O144" s="91">
        <v>41717</v>
      </c>
      <c r="P144" s="69"/>
      <c r="Q144" s="69"/>
      <c r="R144" s="69"/>
      <c r="S144" s="69"/>
      <c r="T144" s="69"/>
      <c r="U144" s="69"/>
      <c r="V144" s="69"/>
      <c r="W144" s="69"/>
    </row>
    <row r="145" spans="1:23" s="72" customFormat="1" ht="32.4" customHeight="1" x14ac:dyDescent="0.25">
      <c r="A145" s="74"/>
      <c r="B145" s="75" t="s">
        <v>171</v>
      </c>
      <c r="C145" s="75">
        <v>2011</v>
      </c>
      <c r="D145" s="85" t="s">
        <v>46</v>
      </c>
      <c r="E145" s="75" t="s">
        <v>383</v>
      </c>
      <c r="F145" s="75" t="s">
        <v>245</v>
      </c>
      <c r="G145" s="77">
        <f>224500*M145/L145</f>
        <v>6140.8876194661098</v>
      </c>
      <c r="H145" s="77" t="s">
        <v>457</v>
      </c>
      <c r="I145" s="78" t="s">
        <v>41</v>
      </c>
      <c r="J145" s="79">
        <v>112</v>
      </c>
      <c r="K145" s="124">
        <v>1025</v>
      </c>
      <c r="L145" s="125" t="s">
        <v>448</v>
      </c>
      <c r="M145" s="125" t="s">
        <v>441</v>
      </c>
      <c r="N145" s="168">
        <f>224500*M145</f>
        <v>1118010</v>
      </c>
      <c r="O145" s="91">
        <v>41717</v>
      </c>
      <c r="P145" s="69"/>
      <c r="Q145" s="69"/>
      <c r="R145" s="69"/>
      <c r="S145" s="69"/>
      <c r="T145" s="69"/>
      <c r="U145" s="69"/>
      <c r="V145" s="69"/>
      <c r="W145" s="69"/>
    </row>
    <row r="146" spans="1:23" s="72" customFormat="1" ht="32.25" customHeight="1" x14ac:dyDescent="0.25">
      <c r="A146" s="74"/>
      <c r="B146" s="75" t="s">
        <v>172</v>
      </c>
      <c r="C146" s="75">
        <v>2011</v>
      </c>
      <c r="D146" s="85" t="s">
        <v>46</v>
      </c>
      <c r="E146" s="75" t="s">
        <v>383</v>
      </c>
      <c r="F146" s="75" t="s">
        <v>328</v>
      </c>
      <c r="G146" s="77">
        <f>209500*M146/L146</f>
        <v>5730.5833241788423</v>
      </c>
      <c r="H146" s="77" t="s">
        <v>458</v>
      </c>
      <c r="I146" s="78" t="s">
        <v>41</v>
      </c>
      <c r="J146" s="79">
        <v>113</v>
      </c>
      <c r="K146" s="124">
        <v>1026</v>
      </c>
      <c r="L146" s="125" t="s">
        <v>448</v>
      </c>
      <c r="M146" s="125" t="s">
        <v>441</v>
      </c>
      <c r="N146" s="168">
        <f>209500*M146</f>
        <v>1043310.0000000001</v>
      </c>
      <c r="O146" s="91">
        <v>41717</v>
      </c>
      <c r="P146" s="69"/>
      <c r="Q146" s="69"/>
      <c r="R146" s="69"/>
      <c r="S146" s="69"/>
      <c r="T146" s="69"/>
      <c r="U146" s="69"/>
      <c r="V146" s="69"/>
      <c r="W146" s="69"/>
    </row>
    <row r="147" spans="1:23" s="72" customFormat="1" ht="30" customHeight="1" x14ac:dyDescent="0.25">
      <c r="A147" s="74"/>
      <c r="B147" s="75" t="s">
        <v>217</v>
      </c>
      <c r="C147" s="75">
        <v>2010</v>
      </c>
      <c r="D147" s="85" t="s">
        <v>46</v>
      </c>
      <c r="E147" s="75" t="s">
        <v>383</v>
      </c>
      <c r="F147" s="75" t="s">
        <v>218</v>
      </c>
      <c r="G147" s="77">
        <f>N147/L147</f>
        <v>2346.9405690431727</v>
      </c>
      <c r="H147" s="77" t="s">
        <v>1286</v>
      </c>
      <c r="I147" s="78" t="s">
        <v>41</v>
      </c>
      <c r="J147" s="79">
        <v>114</v>
      </c>
      <c r="K147" s="124">
        <v>1027</v>
      </c>
      <c r="L147" s="125" t="s">
        <v>448</v>
      </c>
      <c r="M147" s="125" t="s">
        <v>441</v>
      </c>
      <c r="N147" s="168">
        <f>85800*M147</f>
        <v>427284.00000000006</v>
      </c>
      <c r="O147" s="91">
        <v>41717</v>
      </c>
      <c r="P147" s="69"/>
      <c r="Q147" s="69"/>
      <c r="R147" s="69"/>
      <c r="S147" s="69"/>
      <c r="T147" s="69"/>
      <c r="U147" s="69"/>
      <c r="V147" s="69"/>
      <c r="W147" s="69"/>
    </row>
    <row r="148" spans="1:23" ht="30.75" customHeight="1" x14ac:dyDescent="0.25">
      <c r="A148" s="74">
        <v>799</v>
      </c>
      <c r="B148" s="75" t="s">
        <v>460</v>
      </c>
      <c r="C148" s="75">
        <v>1998</v>
      </c>
      <c r="D148" s="85" t="s">
        <v>461</v>
      </c>
      <c r="E148" s="75">
        <v>2014</v>
      </c>
      <c r="F148" s="75" t="s">
        <v>240</v>
      </c>
      <c r="G148" s="77">
        <v>9000</v>
      </c>
      <c r="H148" s="77" t="s">
        <v>102</v>
      </c>
      <c r="I148" s="92" t="s">
        <v>429</v>
      </c>
      <c r="J148" s="79">
        <v>115</v>
      </c>
      <c r="K148" s="124">
        <v>1028</v>
      </c>
      <c r="L148" s="125" t="s">
        <v>462</v>
      </c>
      <c r="M148" s="125"/>
      <c r="N148" s="168">
        <f>G148*L148</f>
        <v>1638360</v>
      </c>
      <c r="O148" s="91">
        <v>41718</v>
      </c>
      <c r="P148" s="69"/>
      <c r="Q148" s="69"/>
      <c r="R148" s="69"/>
      <c r="S148" s="69"/>
      <c r="T148" s="69"/>
      <c r="U148" s="69"/>
      <c r="V148" s="69"/>
      <c r="W148" s="69"/>
    </row>
    <row r="149" spans="1:23" s="72" customFormat="1" ht="30" customHeight="1" x14ac:dyDescent="0.25">
      <c r="A149" s="74">
        <v>800</v>
      </c>
      <c r="B149" s="75" t="s">
        <v>463</v>
      </c>
      <c r="C149" s="75">
        <v>2009</v>
      </c>
      <c r="D149" s="85" t="s">
        <v>46</v>
      </c>
      <c r="E149" s="75">
        <v>2014</v>
      </c>
      <c r="F149" s="75" t="s">
        <v>245</v>
      </c>
      <c r="G149" s="77">
        <f>198300*M149/L149</f>
        <v>5501.0711931443639</v>
      </c>
      <c r="H149" s="77" t="s">
        <v>464</v>
      </c>
      <c r="I149" s="78" t="s">
        <v>41</v>
      </c>
      <c r="J149" s="79">
        <v>116</v>
      </c>
      <c r="K149" s="124">
        <v>1029</v>
      </c>
      <c r="L149" s="125" t="s">
        <v>462</v>
      </c>
      <c r="M149" s="125" t="s">
        <v>465</v>
      </c>
      <c r="N149" s="168">
        <f>198300*M149</f>
        <v>1001415</v>
      </c>
      <c r="O149" s="91">
        <v>41718</v>
      </c>
      <c r="P149" s="69"/>
      <c r="Q149" s="69"/>
      <c r="R149" s="69"/>
      <c r="S149" s="69"/>
      <c r="T149" s="69"/>
      <c r="U149" s="69"/>
      <c r="V149" s="69"/>
      <c r="W149" s="69"/>
    </row>
    <row r="150" spans="1:23" s="72" customFormat="1" ht="28.5" customHeight="1" x14ac:dyDescent="0.25">
      <c r="A150" s="74"/>
      <c r="B150" s="75" t="s">
        <v>74</v>
      </c>
      <c r="C150" s="75">
        <v>2007</v>
      </c>
      <c r="D150" s="85" t="s">
        <v>46</v>
      </c>
      <c r="E150" s="75" t="s">
        <v>466</v>
      </c>
      <c r="F150" s="75" t="s">
        <v>245</v>
      </c>
      <c r="G150" s="77">
        <f>233800*M150/L150</f>
        <v>6485.8822236871019</v>
      </c>
      <c r="H150" s="77" t="s">
        <v>467</v>
      </c>
      <c r="I150" s="78" t="s">
        <v>41</v>
      </c>
      <c r="J150" s="79">
        <v>117</v>
      </c>
      <c r="K150" s="124">
        <v>1030</v>
      </c>
      <c r="L150" s="125" t="s">
        <v>462</v>
      </c>
      <c r="M150" s="125" t="s">
        <v>465</v>
      </c>
      <c r="N150" s="168">
        <f>233800*M150</f>
        <v>1180690</v>
      </c>
      <c r="O150" s="91">
        <v>41718</v>
      </c>
      <c r="P150" s="69"/>
      <c r="Q150" s="69"/>
      <c r="R150" s="69"/>
      <c r="S150" s="69"/>
      <c r="T150" s="69"/>
      <c r="U150" s="69"/>
      <c r="V150" s="69"/>
      <c r="W150" s="69"/>
    </row>
    <row r="151" spans="1:23" s="72" customFormat="1" ht="28.5" customHeight="1" x14ac:dyDescent="0.25">
      <c r="A151" s="74">
        <v>801</v>
      </c>
      <c r="B151" s="75" t="s">
        <v>468</v>
      </c>
      <c r="C151" s="75">
        <v>2006</v>
      </c>
      <c r="D151" s="85" t="s">
        <v>46</v>
      </c>
      <c r="E151" s="75">
        <v>2014</v>
      </c>
      <c r="F151" s="75" t="s">
        <v>245</v>
      </c>
      <c r="G151" s="77">
        <f>202900*M151/L151</f>
        <v>5628.6805097780707</v>
      </c>
      <c r="H151" s="77" t="s">
        <v>469</v>
      </c>
      <c r="I151" s="78" t="s">
        <v>41</v>
      </c>
      <c r="J151" s="79">
        <v>118</v>
      </c>
      <c r="K151" s="124">
        <v>1031</v>
      </c>
      <c r="L151" s="125" t="s">
        <v>462</v>
      </c>
      <c r="M151" s="125" t="s">
        <v>465</v>
      </c>
      <c r="N151" s="168">
        <f>202900*M151</f>
        <v>1024645</v>
      </c>
      <c r="O151" s="91">
        <v>41718</v>
      </c>
      <c r="P151" s="69"/>
      <c r="Q151" s="69"/>
      <c r="R151" s="69"/>
      <c r="S151" s="69"/>
      <c r="T151" s="69"/>
      <c r="U151" s="69"/>
      <c r="V151" s="69"/>
      <c r="W151" s="69"/>
    </row>
    <row r="152" spans="1:23" s="72" customFormat="1" ht="27.75" customHeight="1" x14ac:dyDescent="0.25">
      <c r="A152" s="74">
        <v>802</v>
      </c>
      <c r="B152" s="75" t="s">
        <v>470</v>
      </c>
      <c r="C152" s="75">
        <v>2008</v>
      </c>
      <c r="D152" s="85" t="s">
        <v>46</v>
      </c>
      <c r="E152" s="75">
        <v>2014</v>
      </c>
      <c r="F152" s="75" t="s">
        <v>245</v>
      </c>
      <c r="G152" s="77">
        <f>210500*M152/L152</f>
        <v>5839.513293781587</v>
      </c>
      <c r="H152" s="77" t="s">
        <v>459</v>
      </c>
      <c r="I152" s="78" t="s">
        <v>41</v>
      </c>
      <c r="J152" s="79">
        <v>119</v>
      </c>
      <c r="K152" s="124">
        <v>1032</v>
      </c>
      <c r="L152" s="125" t="s">
        <v>462</v>
      </c>
      <c r="M152" s="125" t="s">
        <v>465</v>
      </c>
      <c r="N152" s="168">
        <f>210500*M152</f>
        <v>1063025</v>
      </c>
      <c r="O152" s="91">
        <v>41718</v>
      </c>
      <c r="P152" s="69"/>
      <c r="Q152" s="69"/>
      <c r="R152" s="69"/>
      <c r="S152" s="69"/>
      <c r="T152" s="69"/>
      <c r="U152" s="69"/>
      <c r="V152" s="69"/>
      <c r="W152" s="69"/>
    </row>
    <row r="153" spans="1:23" s="72" customFormat="1" ht="27" customHeight="1" x14ac:dyDescent="0.25">
      <c r="A153" s="74">
        <v>803</v>
      </c>
      <c r="B153" s="75" t="s">
        <v>471</v>
      </c>
      <c r="C153" s="75">
        <v>2005</v>
      </c>
      <c r="D153" s="85" t="s">
        <v>46</v>
      </c>
      <c r="E153" s="75">
        <v>2014</v>
      </c>
      <c r="F153" s="75" t="s">
        <v>245</v>
      </c>
      <c r="G153" s="77">
        <f>116400*M153/L153</f>
        <v>3229.070533948583</v>
      </c>
      <c r="H153" s="77" t="s">
        <v>472</v>
      </c>
      <c r="I153" s="78" t="s">
        <v>41</v>
      </c>
      <c r="J153" s="79">
        <v>120</v>
      </c>
      <c r="K153" s="124">
        <v>1033</v>
      </c>
      <c r="L153" s="125" t="s">
        <v>462</v>
      </c>
      <c r="M153" s="125" t="s">
        <v>465</v>
      </c>
      <c r="N153" s="168">
        <f>116400*M153</f>
        <v>587820</v>
      </c>
      <c r="O153" s="91">
        <v>41718</v>
      </c>
      <c r="P153" s="69"/>
      <c r="Q153" s="69"/>
      <c r="R153" s="69"/>
      <c r="S153" s="69"/>
      <c r="T153" s="69"/>
      <c r="U153" s="69"/>
      <c r="V153" s="69"/>
      <c r="W153" s="69"/>
    </row>
    <row r="154" spans="1:23" ht="43.2" customHeight="1" x14ac:dyDescent="0.25">
      <c r="A154" s="74"/>
      <c r="B154" s="75" t="s">
        <v>395</v>
      </c>
      <c r="C154" s="75">
        <v>2005</v>
      </c>
      <c r="D154" s="85" t="s">
        <v>46</v>
      </c>
      <c r="E154" s="75" t="s">
        <v>473</v>
      </c>
      <c r="F154" s="93" t="s">
        <v>296</v>
      </c>
      <c r="G154" s="77">
        <f>N154/L154</f>
        <v>1359.5912986156889</v>
      </c>
      <c r="H154" s="77" t="s">
        <v>1264</v>
      </c>
      <c r="I154" s="78" t="s">
        <v>1336</v>
      </c>
      <c r="J154" s="79">
        <v>121</v>
      </c>
      <c r="K154" s="124">
        <v>1034</v>
      </c>
      <c r="L154" s="125" t="s">
        <v>462</v>
      </c>
      <c r="M154" s="125"/>
      <c r="N154" s="168">
        <v>247500</v>
      </c>
      <c r="O154" s="91">
        <v>41718</v>
      </c>
      <c r="P154" s="69"/>
      <c r="Q154" s="69"/>
      <c r="R154" s="69"/>
      <c r="S154" s="69"/>
      <c r="T154" s="69"/>
      <c r="U154" s="69"/>
      <c r="V154" s="69"/>
      <c r="W154" s="69"/>
    </row>
    <row r="155" spans="1:23" s="67" customFormat="1" ht="53.25" customHeight="1" x14ac:dyDescent="0.25">
      <c r="A155" s="74"/>
      <c r="B155" s="75" t="s">
        <v>1272</v>
      </c>
      <c r="C155" s="75">
        <v>2004</v>
      </c>
      <c r="D155" s="85" t="s">
        <v>46</v>
      </c>
      <c r="E155" s="75">
        <v>2014</v>
      </c>
      <c r="F155" s="75" t="s">
        <v>293</v>
      </c>
      <c r="G155" s="77">
        <f>N155/L155</f>
        <v>5372.5392221489783</v>
      </c>
      <c r="H155" s="77" t="s">
        <v>247</v>
      </c>
      <c r="I155" s="78" t="s">
        <v>41</v>
      </c>
      <c r="J155" s="79">
        <v>122</v>
      </c>
      <c r="K155" s="124">
        <v>1035</v>
      </c>
      <c r="L155" s="125" t="s">
        <v>462</v>
      </c>
      <c r="M155" s="125" t="s">
        <v>480</v>
      </c>
      <c r="N155" s="168">
        <f>3894*M155</f>
        <v>978017.04</v>
      </c>
      <c r="O155" s="91">
        <v>41720</v>
      </c>
      <c r="P155" s="69"/>
      <c r="Q155" s="69"/>
      <c r="R155" s="69"/>
      <c r="S155" s="69"/>
      <c r="T155" s="69"/>
      <c r="U155" s="69"/>
      <c r="V155" s="69"/>
      <c r="W155" s="69"/>
    </row>
    <row r="156" spans="1:23" ht="33.6" customHeight="1" x14ac:dyDescent="0.25">
      <c r="A156" s="74">
        <v>804</v>
      </c>
      <c r="B156" s="75" t="s">
        <v>474</v>
      </c>
      <c r="C156" s="75">
        <v>2000</v>
      </c>
      <c r="D156" s="85" t="s">
        <v>475</v>
      </c>
      <c r="E156" s="75">
        <v>2014</v>
      </c>
      <c r="F156" s="75" t="s">
        <v>240</v>
      </c>
      <c r="G156" s="77">
        <v>5000</v>
      </c>
      <c r="H156" s="77" t="s">
        <v>273</v>
      </c>
      <c r="I156" s="78" t="s">
        <v>41</v>
      </c>
      <c r="J156" s="79">
        <v>123</v>
      </c>
      <c r="K156" s="124">
        <v>1036</v>
      </c>
      <c r="L156" s="125" t="s">
        <v>476</v>
      </c>
      <c r="M156" s="125"/>
      <c r="N156" s="168">
        <f>G156*L156</f>
        <v>910100</v>
      </c>
      <c r="O156" s="91">
        <v>41724</v>
      </c>
      <c r="P156" s="69"/>
      <c r="Q156" s="69"/>
      <c r="R156" s="69"/>
      <c r="S156" s="69"/>
      <c r="T156" s="69"/>
      <c r="U156" s="69"/>
      <c r="V156" s="69"/>
      <c r="W156" s="69"/>
    </row>
    <row r="157" spans="1:23" ht="66.75" customHeight="1" x14ac:dyDescent="0.25">
      <c r="A157" s="74">
        <v>805</v>
      </c>
      <c r="B157" s="75" t="s">
        <v>477</v>
      </c>
      <c r="C157" s="75">
        <v>1998</v>
      </c>
      <c r="D157" s="85" t="s">
        <v>478</v>
      </c>
      <c r="E157" s="75">
        <v>2014</v>
      </c>
      <c r="F157" s="75" t="s">
        <v>240</v>
      </c>
      <c r="G157" s="77">
        <v>5000</v>
      </c>
      <c r="H157" s="77" t="s">
        <v>273</v>
      </c>
      <c r="I157" s="78" t="s">
        <v>429</v>
      </c>
      <c r="J157" s="79">
        <v>124</v>
      </c>
      <c r="K157" s="124">
        <v>1037</v>
      </c>
      <c r="L157" s="125" t="s">
        <v>476</v>
      </c>
      <c r="M157" s="125"/>
      <c r="N157" s="168">
        <f>G157*L157</f>
        <v>910100</v>
      </c>
      <c r="O157" s="91">
        <v>41724</v>
      </c>
      <c r="P157" s="69"/>
      <c r="Q157" s="69"/>
      <c r="R157" s="69"/>
      <c r="S157" s="69"/>
      <c r="T157" s="69"/>
      <c r="U157" s="69"/>
      <c r="V157" s="69"/>
      <c r="W157" s="69"/>
    </row>
    <row r="158" spans="1:23" s="72" customFormat="1" ht="54.6" customHeight="1" x14ac:dyDescent="0.25">
      <c r="A158" s="74"/>
      <c r="B158" s="75" t="s">
        <v>196</v>
      </c>
      <c r="C158" s="75">
        <v>2011</v>
      </c>
      <c r="D158" s="85" t="s">
        <v>46</v>
      </c>
      <c r="E158" s="75" t="s">
        <v>473</v>
      </c>
      <c r="F158" s="75" t="s">
        <v>293</v>
      </c>
      <c r="G158" s="77">
        <f>3894*M158/L158</f>
        <v>5371.3589630931456</v>
      </c>
      <c r="H158" s="77" t="s">
        <v>247</v>
      </c>
      <c r="I158" s="78" t="s">
        <v>41</v>
      </c>
      <c r="J158" s="79">
        <v>125</v>
      </c>
      <c r="K158" s="124">
        <v>1038</v>
      </c>
      <c r="L158" s="125" t="s">
        <v>479</v>
      </c>
      <c r="M158" s="125" t="s">
        <v>480</v>
      </c>
      <c r="N158" s="168">
        <f>3894*M158</f>
        <v>978017.04</v>
      </c>
      <c r="O158" s="91">
        <v>41725</v>
      </c>
      <c r="P158" s="68"/>
      <c r="Q158" s="69"/>
      <c r="R158" s="69"/>
      <c r="S158" s="69"/>
      <c r="T158" s="69"/>
      <c r="U158" s="69"/>
      <c r="V158" s="69"/>
      <c r="W158" s="69"/>
    </row>
    <row r="159" spans="1:23" s="70" customFormat="1" ht="30" customHeight="1" x14ac:dyDescent="0.25">
      <c r="A159" s="74">
        <v>806</v>
      </c>
      <c r="B159" s="75" t="s">
        <v>481</v>
      </c>
      <c r="C159" s="75">
        <v>2008</v>
      </c>
      <c r="D159" s="85" t="s">
        <v>46</v>
      </c>
      <c r="E159" s="75">
        <v>2014</v>
      </c>
      <c r="F159" s="75" t="s">
        <v>245</v>
      </c>
      <c r="G159" s="77">
        <f>N159/L159</f>
        <v>1715.7798769771525</v>
      </c>
      <c r="H159" s="77" t="s">
        <v>1311</v>
      </c>
      <c r="I159" s="78" t="s">
        <v>41</v>
      </c>
      <c r="J159" s="79">
        <v>126</v>
      </c>
      <c r="K159" s="124">
        <v>1039</v>
      </c>
      <c r="L159" s="125" t="s">
        <v>479</v>
      </c>
      <c r="M159" s="125" t="s">
        <v>482</v>
      </c>
      <c r="N159" s="168">
        <f>60780*M159</f>
        <v>312409.19999999995</v>
      </c>
      <c r="O159" s="91">
        <v>41725</v>
      </c>
      <c r="P159" s="69"/>
      <c r="Q159" s="69"/>
      <c r="R159" s="69"/>
      <c r="S159" s="69"/>
      <c r="T159" s="69"/>
      <c r="U159" s="69"/>
      <c r="V159" s="69"/>
      <c r="W159" s="69"/>
    </row>
    <row r="160" spans="1:23" s="72" customFormat="1" ht="34.950000000000003" customHeight="1" x14ac:dyDescent="0.25">
      <c r="A160" s="74">
        <v>807</v>
      </c>
      <c r="B160" s="75" t="s">
        <v>483</v>
      </c>
      <c r="C160" s="75">
        <v>2008</v>
      </c>
      <c r="D160" s="85" t="s">
        <v>46</v>
      </c>
      <c r="E160" s="75">
        <v>2014</v>
      </c>
      <c r="F160" s="75" t="s">
        <v>245</v>
      </c>
      <c r="G160" s="77">
        <f>205800*M160/L160</f>
        <v>5809.6001757469239</v>
      </c>
      <c r="H160" s="77" t="s">
        <v>484</v>
      </c>
      <c r="I160" s="78" t="s">
        <v>41</v>
      </c>
      <c r="J160" s="79">
        <v>127</v>
      </c>
      <c r="K160" s="124">
        <v>1040</v>
      </c>
      <c r="L160" s="125" t="s">
        <v>479</v>
      </c>
      <c r="M160" s="125" t="s">
        <v>482</v>
      </c>
      <c r="N160" s="168">
        <f>205800*M160</f>
        <v>1057812</v>
      </c>
      <c r="O160" s="91">
        <v>41725</v>
      </c>
      <c r="P160" s="69"/>
      <c r="Q160" s="69"/>
      <c r="R160" s="69"/>
      <c r="S160" s="69"/>
      <c r="T160" s="69"/>
      <c r="U160" s="69"/>
      <c r="V160" s="69"/>
      <c r="W160" s="69"/>
    </row>
    <row r="161" spans="1:23" s="70" customFormat="1" ht="42" customHeight="1" x14ac:dyDescent="0.25">
      <c r="A161" s="74"/>
      <c r="B161" s="75" t="s">
        <v>232</v>
      </c>
      <c r="C161" s="75">
        <v>2003</v>
      </c>
      <c r="D161" s="85" t="s">
        <v>46</v>
      </c>
      <c r="E161" s="75" t="s">
        <v>473</v>
      </c>
      <c r="F161" s="75" t="s">
        <v>322</v>
      </c>
      <c r="G161" s="77">
        <f>N161/L161</f>
        <v>908.98506151142351</v>
      </c>
      <c r="H161" s="77" t="s">
        <v>1259</v>
      </c>
      <c r="I161" s="78" t="s">
        <v>41</v>
      </c>
      <c r="J161" s="79">
        <v>128</v>
      </c>
      <c r="K161" s="124">
        <v>1041</v>
      </c>
      <c r="L161" s="125" t="s">
        <v>479</v>
      </c>
      <c r="M161" s="125" t="s">
        <v>482</v>
      </c>
      <c r="N161" s="168">
        <f>32200*M161</f>
        <v>165508</v>
      </c>
      <c r="O161" s="91">
        <v>41725</v>
      </c>
      <c r="P161" s="69"/>
      <c r="Q161" s="69"/>
      <c r="R161" s="69"/>
      <c r="S161" s="69"/>
      <c r="T161" s="69"/>
      <c r="U161" s="69"/>
      <c r="V161" s="69"/>
      <c r="W161" s="69"/>
    </row>
    <row r="162" spans="1:23" s="72" customFormat="1" ht="54.6" customHeight="1" x14ac:dyDescent="0.25">
      <c r="A162" s="74">
        <v>808</v>
      </c>
      <c r="B162" s="75" t="s">
        <v>485</v>
      </c>
      <c r="C162" s="75">
        <v>2011</v>
      </c>
      <c r="D162" s="85" t="s">
        <v>46</v>
      </c>
      <c r="E162" s="75">
        <v>2014</v>
      </c>
      <c r="F162" s="75" t="s">
        <v>293</v>
      </c>
      <c r="G162" s="77">
        <f>3712*M162/L162</f>
        <v>5120.3093145869943</v>
      </c>
      <c r="H162" s="77" t="s">
        <v>248</v>
      </c>
      <c r="I162" s="78" t="s">
        <v>41</v>
      </c>
      <c r="J162" s="79">
        <v>129</v>
      </c>
      <c r="K162" s="124">
        <v>1042</v>
      </c>
      <c r="L162" s="125" t="s">
        <v>479</v>
      </c>
      <c r="M162" s="125" t="s">
        <v>480</v>
      </c>
      <c r="N162" s="168">
        <f>3712*M162</f>
        <v>932305.92000000004</v>
      </c>
      <c r="O162" s="91">
        <v>41725</v>
      </c>
      <c r="P162" s="69"/>
      <c r="Q162" s="69"/>
      <c r="R162" s="69"/>
      <c r="S162" s="69"/>
      <c r="T162" s="69"/>
      <c r="U162" s="69"/>
      <c r="V162" s="69"/>
      <c r="W162" s="69"/>
    </row>
    <row r="163" spans="1:23" s="67" customFormat="1" ht="42" customHeight="1" x14ac:dyDescent="0.25">
      <c r="A163" s="74"/>
      <c r="B163" s="75" t="s">
        <v>407</v>
      </c>
      <c r="C163" s="75">
        <v>1991</v>
      </c>
      <c r="D163" s="85" t="s">
        <v>409</v>
      </c>
      <c r="E163" s="75" t="s">
        <v>473</v>
      </c>
      <c r="F163" s="94" t="s">
        <v>340</v>
      </c>
      <c r="G163" s="77">
        <v>4998</v>
      </c>
      <c r="H163" s="77" t="s">
        <v>1319</v>
      </c>
      <c r="I163" s="78" t="s">
        <v>429</v>
      </c>
      <c r="J163" s="79">
        <v>130</v>
      </c>
      <c r="K163" s="124">
        <v>1043</v>
      </c>
      <c r="L163" s="125" t="s">
        <v>487</v>
      </c>
      <c r="M163" s="125"/>
      <c r="N163" s="168">
        <f>G163*L163</f>
        <v>909885.9</v>
      </c>
      <c r="O163" s="91">
        <v>41726</v>
      </c>
      <c r="P163" s="69"/>
      <c r="Q163" s="69"/>
      <c r="R163" s="69"/>
      <c r="S163" s="69"/>
      <c r="T163" s="69"/>
      <c r="U163" s="69"/>
      <c r="V163" s="69"/>
      <c r="W163" s="69"/>
    </row>
    <row r="164" spans="1:23" ht="33" customHeight="1" x14ac:dyDescent="0.25">
      <c r="A164" s="74">
        <v>809</v>
      </c>
      <c r="B164" s="75" t="s">
        <v>491</v>
      </c>
      <c r="C164" s="75">
        <v>2007</v>
      </c>
      <c r="D164" s="85" t="s">
        <v>46</v>
      </c>
      <c r="E164" s="75">
        <v>2014</v>
      </c>
      <c r="F164" s="93" t="s">
        <v>63</v>
      </c>
      <c r="G164" s="77">
        <f>218853/L164</f>
        <v>1202.158747596814</v>
      </c>
      <c r="H164" s="77" t="s">
        <v>492</v>
      </c>
      <c r="I164" s="78" t="s">
        <v>41</v>
      </c>
      <c r="J164" s="79">
        <v>131</v>
      </c>
      <c r="K164" s="124">
        <v>1044</v>
      </c>
      <c r="L164" s="125" t="s">
        <v>487</v>
      </c>
      <c r="M164" s="125"/>
      <c r="N164" s="168">
        <v>218853</v>
      </c>
      <c r="O164" s="91">
        <v>41726</v>
      </c>
      <c r="P164" s="69"/>
      <c r="Q164" s="69"/>
      <c r="R164" s="69"/>
      <c r="S164" s="69"/>
      <c r="T164" s="69"/>
      <c r="U164" s="69"/>
      <c r="V164" s="69"/>
      <c r="W164" s="69"/>
    </row>
    <row r="165" spans="1:23" ht="32.4" customHeight="1" x14ac:dyDescent="0.25">
      <c r="A165" s="74">
        <v>810</v>
      </c>
      <c r="B165" s="75" t="s">
        <v>493</v>
      </c>
      <c r="C165" s="75">
        <v>2012</v>
      </c>
      <c r="D165" s="85" t="s">
        <v>46</v>
      </c>
      <c r="E165" s="75">
        <v>2014</v>
      </c>
      <c r="F165" s="93" t="s">
        <v>63</v>
      </c>
      <c r="G165" s="77">
        <f>304919/L165</f>
        <v>1674.9189783026641</v>
      </c>
      <c r="H165" s="77" t="s">
        <v>494</v>
      </c>
      <c r="I165" s="78" t="s">
        <v>41</v>
      </c>
      <c r="J165" s="79">
        <v>132</v>
      </c>
      <c r="K165" s="124">
        <v>1045</v>
      </c>
      <c r="L165" s="125" t="s">
        <v>487</v>
      </c>
      <c r="M165" s="125"/>
      <c r="N165" s="168">
        <v>304919</v>
      </c>
      <c r="O165" s="91">
        <v>41726</v>
      </c>
      <c r="P165" s="69"/>
      <c r="Q165" s="69"/>
      <c r="R165" s="69"/>
      <c r="S165" s="69"/>
      <c r="T165" s="69"/>
      <c r="U165" s="69"/>
      <c r="V165" s="69"/>
      <c r="W165" s="69"/>
    </row>
    <row r="166" spans="1:23" s="72" customFormat="1" ht="42" customHeight="1" x14ac:dyDescent="0.25">
      <c r="A166" s="74"/>
      <c r="B166" s="75" t="s">
        <v>490</v>
      </c>
      <c r="C166" s="75">
        <v>1995</v>
      </c>
      <c r="D166" s="85" t="s">
        <v>46</v>
      </c>
      <c r="E166" s="75">
        <v>2014</v>
      </c>
      <c r="F166" s="94" t="s">
        <v>340</v>
      </c>
      <c r="G166" s="77">
        <v>1700</v>
      </c>
      <c r="H166" s="77" t="s">
        <v>489</v>
      </c>
      <c r="I166" s="78" t="s">
        <v>41</v>
      </c>
      <c r="J166" s="79">
        <v>133</v>
      </c>
      <c r="K166" s="124">
        <v>1046</v>
      </c>
      <c r="L166" s="125" t="s">
        <v>462</v>
      </c>
      <c r="M166" s="125"/>
      <c r="N166" s="168">
        <f>G166*L166</f>
        <v>309468</v>
      </c>
      <c r="O166" s="91">
        <v>41729</v>
      </c>
      <c r="P166" s="69"/>
      <c r="Q166" s="69"/>
      <c r="R166" s="69"/>
      <c r="S166" s="69"/>
      <c r="T166" s="69"/>
      <c r="U166" s="69"/>
      <c r="V166" s="69"/>
      <c r="W166" s="69"/>
    </row>
    <row r="167" spans="1:23" s="72" customFormat="1" ht="54" customHeight="1" x14ac:dyDescent="0.25">
      <c r="A167" s="74">
        <v>811</v>
      </c>
      <c r="B167" s="75" t="s">
        <v>495</v>
      </c>
      <c r="C167" s="75">
        <v>2010</v>
      </c>
      <c r="D167" s="85" t="s">
        <v>46</v>
      </c>
      <c r="E167" s="75">
        <v>2014</v>
      </c>
      <c r="F167" s="75" t="s">
        <v>293</v>
      </c>
      <c r="G167" s="77">
        <f>3712*M167/L167</f>
        <v>5101.5023618587284</v>
      </c>
      <c r="H167" s="77" t="s">
        <v>248</v>
      </c>
      <c r="I167" s="78" t="s">
        <v>41</v>
      </c>
      <c r="J167" s="79">
        <v>134</v>
      </c>
      <c r="K167" s="124">
        <v>1047</v>
      </c>
      <c r="L167" s="125" t="s">
        <v>448</v>
      </c>
      <c r="M167" s="125" t="s">
        <v>496</v>
      </c>
      <c r="N167" s="168">
        <f>3712*M167</f>
        <v>928779.52</v>
      </c>
      <c r="O167" s="91">
        <v>41730</v>
      </c>
      <c r="P167" s="69"/>
      <c r="Q167" s="69"/>
      <c r="R167" s="69"/>
      <c r="S167" s="69"/>
      <c r="T167" s="69"/>
      <c r="U167" s="69"/>
      <c r="V167" s="69"/>
      <c r="W167" s="69"/>
    </row>
    <row r="168" spans="1:23" ht="33.6" customHeight="1" x14ac:dyDescent="0.25">
      <c r="A168" s="74"/>
      <c r="B168" s="75" t="s">
        <v>178</v>
      </c>
      <c r="C168" s="75">
        <v>2009</v>
      </c>
      <c r="D168" s="85" t="s">
        <v>46</v>
      </c>
      <c r="E168" s="75" t="s">
        <v>473</v>
      </c>
      <c r="F168" s="93" t="s">
        <v>63</v>
      </c>
      <c r="G168" s="77">
        <f>274752/L168</f>
        <v>1509.3775751249793</v>
      </c>
      <c r="H168" s="77" t="s">
        <v>497</v>
      </c>
      <c r="I168" s="78" t="s">
        <v>41</v>
      </c>
      <c r="J168" s="79">
        <v>135</v>
      </c>
      <c r="K168" s="124">
        <v>1048</v>
      </c>
      <c r="L168" s="125" t="s">
        <v>498</v>
      </c>
      <c r="M168" s="125"/>
      <c r="N168" s="168">
        <v>274752</v>
      </c>
      <c r="O168" s="91">
        <v>41732</v>
      </c>
      <c r="P168" s="69"/>
      <c r="Q168" s="69"/>
      <c r="R168" s="69"/>
      <c r="S168" s="69"/>
      <c r="T168" s="69"/>
      <c r="U168" s="69"/>
      <c r="V168" s="69"/>
      <c r="W168" s="69"/>
    </row>
    <row r="169" spans="1:23" ht="30" customHeight="1" x14ac:dyDescent="0.25">
      <c r="A169" s="74">
        <v>812</v>
      </c>
      <c r="B169" s="75" t="s">
        <v>499</v>
      </c>
      <c r="C169" s="75">
        <v>2010</v>
      </c>
      <c r="D169" s="85" t="s">
        <v>46</v>
      </c>
      <c r="E169" s="75">
        <v>2014</v>
      </c>
      <c r="F169" s="93" t="s">
        <v>63</v>
      </c>
      <c r="G169" s="77">
        <f>194712/L169</f>
        <v>1069.6698346426413</v>
      </c>
      <c r="H169" s="77" t="s">
        <v>500</v>
      </c>
      <c r="I169" s="78" t="s">
        <v>41</v>
      </c>
      <c r="J169" s="79">
        <v>136</v>
      </c>
      <c r="K169" s="124">
        <v>1049</v>
      </c>
      <c r="L169" s="125" t="s">
        <v>498</v>
      </c>
      <c r="M169" s="125"/>
      <c r="N169" s="168">
        <v>194712</v>
      </c>
      <c r="O169" s="91">
        <v>41732</v>
      </c>
      <c r="P169" s="69"/>
      <c r="Q169" s="69"/>
      <c r="R169" s="69"/>
      <c r="S169" s="69"/>
      <c r="T169" s="69"/>
      <c r="U169" s="69"/>
      <c r="V169" s="69"/>
      <c r="W169" s="69"/>
    </row>
    <row r="170" spans="1:23" ht="33.6" customHeight="1" x14ac:dyDescent="0.25">
      <c r="A170" s="74"/>
      <c r="B170" s="75" t="s">
        <v>501</v>
      </c>
      <c r="C170" s="75">
        <v>2012</v>
      </c>
      <c r="D170" s="85" t="s">
        <v>46</v>
      </c>
      <c r="E170" s="75" t="s">
        <v>473</v>
      </c>
      <c r="F170" s="93" t="s">
        <v>63</v>
      </c>
      <c r="G170" s="77">
        <f>194712/L170</f>
        <v>1069.6698346426413</v>
      </c>
      <c r="H170" s="77" t="s">
        <v>500</v>
      </c>
      <c r="I170" s="78" t="s">
        <v>41</v>
      </c>
      <c r="J170" s="79">
        <v>137</v>
      </c>
      <c r="K170" s="124">
        <v>1050</v>
      </c>
      <c r="L170" s="125" t="s">
        <v>498</v>
      </c>
      <c r="M170" s="125"/>
      <c r="N170" s="168">
        <v>194712</v>
      </c>
      <c r="O170" s="91">
        <v>41732</v>
      </c>
      <c r="P170" s="69"/>
      <c r="Q170" s="69"/>
      <c r="R170" s="69"/>
      <c r="S170" s="69"/>
      <c r="T170" s="69"/>
      <c r="U170" s="69"/>
      <c r="V170" s="69"/>
      <c r="W170" s="69"/>
    </row>
    <row r="171" spans="1:23" ht="34.200000000000003" customHeight="1" x14ac:dyDescent="0.25">
      <c r="A171" s="74"/>
      <c r="B171" s="75" t="s">
        <v>504</v>
      </c>
      <c r="C171" s="75">
        <v>2007</v>
      </c>
      <c r="D171" s="85" t="s">
        <v>46</v>
      </c>
      <c r="E171" s="75" t="s">
        <v>473</v>
      </c>
      <c r="F171" s="85" t="s">
        <v>299</v>
      </c>
      <c r="G171" s="77">
        <f>171264*M171/L171</f>
        <v>4817.4468739698932</v>
      </c>
      <c r="H171" s="77" t="s">
        <v>505</v>
      </c>
      <c r="I171" s="78" t="s">
        <v>41</v>
      </c>
      <c r="J171" s="79">
        <v>138</v>
      </c>
      <c r="K171" s="124">
        <v>1051</v>
      </c>
      <c r="L171" s="125" t="s">
        <v>476</v>
      </c>
      <c r="M171" s="125" t="s">
        <v>506</v>
      </c>
      <c r="N171" s="168">
        <f>171264*M171</f>
        <v>876871.68000000005</v>
      </c>
      <c r="O171" s="91">
        <v>41733</v>
      </c>
      <c r="P171" s="69"/>
      <c r="Q171" s="69"/>
      <c r="R171" s="69"/>
      <c r="S171" s="69"/>
      <c r="T171" s="69"/>
      <c r="U171" s="69"/>
      <c r="V171" s="69"/>
      <c r="W171" s="69"/>
    </row>
    <row r="172" spans="1:23" s="9" customFormat="1" ht="32.4" customHeight="1" x14ac:dyDescent="0.25">
      <c r="A172" s="74">
        <v>813</v>
      </c>
      <c r="B172" s="75" t="s">
        <v>507</v>
      </c>
      <c r="C172" s="75">
        <v>2008</v>
      </c>
      <c r="D172" s="85" t="s">
        <v>46</v>
      </c>
      <c r="E172" s="75">
        <v>2014</v>
      </c>
      <c r="F172" s="85" t="s">
        <v>299</v>
      </c>
      <c r="G172" s="77">
        <f>201710*M172/L172</f>
        <v>5673.85562026151</v>
      </c>
      <c r="H172" s="77" t="s">
        <v>508</v>
      </c>
      <c r="I172" s="78" t="s">
        <v>41</v>
      </c>
      <c r="J172" s="79">
        <v>139</v>
      </c>
      <c r="K172" s="124">
        <v>1052</v>
      </c>
      <c r="L172" s="125" t="s">
        <v>476</v>
      </c>
      <c r="M172" s="125" t="s">
        <v>506</v>
      </c>
      <c r="N172" s="168">
        <f>201710*M172</f>
        <v>1032755.2000000001</v>
      </c>
      <c r="O172" s="91">
        <v>41733</v>
      </c>
      <c r="P172" s="69"/>
      <c r="Q172" s="69"/>
      <c r="R172" s="69"/>
      <c r="S172" s="69"/>
      <c r="T172" s="69"/>
      <c r="U172" s="69"/>
      <c r="V172" s="69"/>
      <c r="W172" s="69"/>
    </row>
    <row r="173" spans="1:23" ht="44.4" customHeight="1" x14ac:dyDescent="0.25">
      <c r="A173" s="74"/>
      <c r="B173" s="75" t="s">
        <v>168</v>
      </c>
      <c r="C173" s="75">
        <v>2011</v>
      </c>
      <c r="D173" s="85" t="s">
        <v>46</v>
      </c>
      <c r="E173" s="75" t="s">
        <v>473</v>
      </c>
      <c r="F173" s="93" t="s">
        <v>47</v>
      </c>
      <c r="G173" s="77">
        <f>156660*M173/L173</f>
        <v>4406.6542138226569</v>
      </c>
      <c r="H173" s="77" t="s">
        <v>509</v>
      </c>
      <c r="I173" s="78" t="s">
        <v>41</v>
      </c>
      <c r="J173" s="79">
        <v>140</v>
      </c>
      <c r="K173" s="124">
        <v>1053</v>
      </c>
      <c r="L173" s="125" t="s">
        <v>476</v>
      </c>
      <c r="M173" s="125" t="s">
        <v>506</v>
      </c>
      <c r="N173" s="168">
        <f>156660*M173</f>
        <v>802099.20000000007</v>
      </c>
      <c r="O173" s="91">
        <v>41733</v>
      </c>
      <c r="P173" s="69"/>
      <c r="Q173" s="69"/>
      <c r="R173" s="69"/>
      <c r="S173" s="69"/>
      <c r="T173" s="69"/>
      <c r="U173" s="69"/>
      <c r="V173" s="69"/>
      <c r="W173" s="69"/>
    </row>
    <row r="174" spans="1:23" s="72" customFormat="1" ht="30.6" customHeight="1" x14ac:dyDescent="0.25">
      <c r="A174" s="74">
        <v>814</v>
      </c>
      <c r="B174" s="75" t="s">
        <v>510</v>
      </c>
      <c r="C174" s="75">
        <v>2011</v>
      </c>
      <c r="D174" s="85" t="s">
        <v>46</v>
      </c>
      <c r="E174" s="75">
        <v>2014</v>
      </c>
      <c r="F174" s="78" t="s">
        <v>101</v>
      </c>
      <c r="G174" s="77">
        <v>8313</v>
      </c>
      <c r="H174" s="77" t="s">
        <v>511</v>
      </c>
      <c r="I174" s="78" t="s">
        <v>41</v>
      </c>
      <c r="J174" s="79">
        <v>141</v>
      </c>
      <c r="K174" s="124">
        <v>1054</v>
      </c>
      <c r="L174" s="125" t="s">
        <v>476</v>
      </c>
      <c r="M174" s="125"/>
      <c r="N174" s="168">
        <f>G174*L174</f>
        <v>1513132.26</v>
      </c>
      <c r="O174" s="91">
        <v>41733</v>
      </c>
      <c r="P174" s="69"/>
      <c r="Q174" s="69"/>
      <c r="R174" s="69"/>
      <c r="S174" s="69"/>
      <c r="T174" s="69"/>
      <c r="U174" s="69"/>
      <c r="V174" s="69"/>
      <c r="W174" s="69"/>
    </row>
    <row r="175" spans="1:23" ht="42" customHeight="1" x14ac:dyDescent="0.25">
      <c r="A175" s="74">
        <v>815</v>
      </c>
      <c r="B175" s="75" t="s">
        <v>512</v>
      </c>
      <c r="C175" s="75">
        <v>2006</v>
      </c>
      <c r="D175" s="85" t="s">
        <v>46</v>
      </c>
      <c r="E175" s="75">
        <v>2014</v>
      </c>
      <c r="F175" s="85" t="s">
        <v>291</v>
      </c>
      <c r="G175" s="77">
        <f>N175/L175</f>
        <v>543.50453172205437</v>
      </c>
      <c r="H175" s="77" t="s">
        <v>1262</v>
      </c>
      <c r="I175" s="78" t="s">
        <v>41</v>
      </c>
      <c r="J175" s="79">
        <v>142</v>
      </c>
      <c r="K175" s="124">
        <v>1055</v>
      </c>
      <c r="L175" s="125" t="s">
        <v>487</v>
      </c>
      <c r="M175" s="125" t="s">
        <v>482</v>
      </c>
      <c r="N175" s="168">
        <f>19250*M175</f>
        <v>98945</v>
      </c>
      <c r="O175" s="91">
        <v>41736</v>
      </c>
      <c r="P175" s="69"/>
      <c r="Q175" s="69"/>
      <c r="R175" s="69"/>
      <c r="S175" s="69"/>
      <c r="T175" s="69"/>
      <c r="U175" s="69"/>
      <c r="V175" s="69"/>
      <c r="W175" s="69"/>
    </row>
    <row r="176" spans="1:23" s="72" customFormat="1" ht="32.4" customHeight="1" x14ac:dyDescent="0.25">
      <c r="A176" s="74">
        <v>816</v>
      </c>
      <c r="B176" s="75" t="s">
        <v>513</v>
      </c>
      <c r="C176" s="75">
        <v>2009</v>
      </c>
      <c r="D176" s="85" t="s">
        <v>46</v>
      </c>
      <c r="E176" s="75">
        <v>2014</v>
      </c>
      <c r="F176" s="75" t="s">
        <v>328</v>
      </c>
      <c r="G176" s="77">
        <f>116100*M176/L176</f>
        <v>3277.9675913210654</v>
      </c>
      <c r="H176" s="77" t="s">
        <v>514</v>
      </c>
      <c r="I176" s="78" t="s">
        <v>41</v>
      </c>
      <c r="J176" s="79">
        <v>143</v>
      </c>
      <c r="K176" s="124">
        <v>1056</v>
      </c>
      <c r="L176" s="125" t="s">
        <v>487</v>
      </c>
      <c r="M176" s="125" t="s">
        <v>482</v>
      </c>
      <c r="N176" s="168">
        <f>116100*M176</f>
        <v>596754</v>
      </c>
      <c r="O176" s="91">
        <v>41736</v>
      </c>
      <c r="P176" s="69"/>
      <c r="Q176" s="69"/>
      <c r="R176" s="69"/>
      <c r="S176" s="69"/>
      <c r="T176" s="69"/>
      <c r="U176" s="69"/>
      <c r="V176" s="69"/>
      <c r="W176" s="69"/>
    </row>
    <row r="177" spans="1:23" ht="33" customHeight="1" x14ac:dyDescent="0.25">
      <c r="A177" s="74">
        <v>817</v>
      </c>
      <c r="B177" s="75" t="s">
        <v>515</v>
      </c>
      <c r="C177" s="75">
        <v>2011</v>
      </c>
      <c r="D177" s="85" t="s">
        <v>46</v>
      </c>
      <c r="E177" s="75">
        <v>2014</v>
      </c>
      <c r="F177" s="85" t="s">
        <v>299</v>
      </c>
      <c r="G177" s="77">
        <f>201710*M177/L177</f>
        <v>5695.0804723976917</v>
      </c>
      <c r="H177" s="77" t="s">
        <v>508</v>
      </c>
      <c r="I177" s="78" t="s">
        <v>41</v>
      </c>
      <c r="J177" s="79">
        <v>144</v>
      </c>
      <c r="K177" s="124">
        <v>1057</v>
      </c>
      <c r="L177" s="125" t="s">
        <v>487</v>
      </c>
      <c r="M177" s="125" t="s">
        <v>482</v>
      </c>
      <c r="N177" s="168">
        <f>201710*M177</f>
        <v>1036789.3999999999</v>
      </c>
      <c r="O177" s="91">
        <v>41736</v>
      </c>
      <c r="P177" s="69"/>
      <c r="Q177" s="69"/>
      <c r="R177" s="69"/>
      <c r="S177" s="69"/>
      <c r="T177" s="69"/>
      <c r="U177" s="69"/>
      <c r="V177" s="69"/>
      <c r="W177" s="69"/>
    </row>
    <row r="178" spans="1:23" s="72" customFormat="1" ht="30" customHeight="1" x14ac:dyDescent="0.25">
      <c r="A178" s="74">
        <v>818</v>
      </c>
      <c r="B178" s="75" t="s">
        <v>516</v>
      </c>
      <c r="C178" s="75">
        <v>2009</v>
      </c>
      <c r="D178" s="85" t="s">
        <v>46</v>
      </c>
      <c r="E178" s="75">
        <v>2014</v>
      </c>
      <c r="F178" s="75" t="s">
        <v>328</v>
      </c>
      <c r="G178" s="77">
        <f>290200*M178/L178</f>
        <v>8193.5072782202678</v>
      </c>
      <c r="H178" s="77" t="s">
        <v>517</v>
      </c>
      <c r="I178" s="78" t="s">
        <v>41</v>
      </c>
      <c r="J178" s="79">
        <v>145</v>
      </c>
      <c r="K178" s="124">
        <v>1058</v>
      </c>
      <c r="L178" s="125" t="s">
        <v>487</v>
      </c>
      <c r="M178" s="125" t="s">
        <v>482</v>
      </c>
      <c r="N178" s="168">
        <f>290200*M178</f>
        <v>1491628</v>
      </c>
      <c r="O178" s="91">
        <v>41736</v>
      </c>
      <c r="P178" s="69"/>
      <c r="Q178" s="69"/>
      <c r="R178" s="69"/>
      <c r="S178" s="69"/>
      <c r="T178" s="69"/>
      <c r="U178" s="69"/>
      <c r="V178" s="69"/>
      <c r="W178" s="69"/>
    </row>
    <row r="179" spans="1:23" ht="34.200000000000003" customHeight="1" x14ac:dyDescent="0.25">
      <c r="A179" s="74">
        <v>819</v>
      </c>
      <c r="B179" s="75" t="s">
        <v>518</v>
      </c>
      <c r="C179" s="75">
        <v>2006</v>
      </c>
      <c r="D179" s="85" t="s">
        <v>46</v>
      </c>
      <c r="E179" s="75">
        <v>2014</v>
      </c>
      <c r="F179" s="78" t="s">
        <v>101</v>
      </c>
      <c r="G179" s="77">
        <v>8864</v>
      </c>
      <c r="H179" s="77" t="s">
        <v>519</v>
      </c>
      <c r="I179" s="78" t="s">
        <v>41</v>
      </c>
      <c r="J179" s="79">
        <v>146</v>
      </c>
      <c r="K179" s="124">
        <v>1059</v>
      </c>
      <c r="L179" s="125" t="s">
        <v>487</v>
      </c>
      <c r="M179" s="125"/>
      <c r="N179" s="168">
        <f>G179*L179</f>
        <v>1613691.2000000002</v>
      </c>
      <c r="O179" s="91">
        <v>41736</v>
      </c>
      <c r="P179" s="69"/>
      <c r="Q179" s="69"/>
      <c r="R179" s="69"/>
      <c r="S179" s="69"/>
      <c r="T179" s="69"/>
      <c r="U179" s="69"/>
      <c r="V179" s="69"/>
      <c r="W179" s="69"/>
    </row>
    <row r="180" spans="1:23" ht="33" customHeight="1" x14ac:dyDescent="0.25">
      <c r="A180" s="74">
        <v>820</v>
      </c>
      <c r="B180" s="75" t="s">
        <v>520</v>
      </c>
      <c r="C180" s="75">
        <v>2010</v>
      </c>
      <c r="D180" s="85" t="s">
        <v>46</v>
      </c>
      <c r="E180" s="75">
        <v>2014</v>
      </c>
      <c r="F180" s="78" t="s">
        <v>101</v>
      </c>
      <c r="G180" s="77">
        <v>8214.7000000000007</v>
      </c>
      <c r="H180" s="77" t="s">
        <v>521</v>
      </c>
      <c r="I180" s="78" t="s">
        <v>41</v>
      </c>
      <c r="J180" s="79">
        <v>147</v>
      </c>
      <c r="K180" s="124">
        <v>1060</v>
      </c>
      <c r="L180" s="125" t="s">
        <v>487</v>
      </c>
      <c r="M180" s="125"/>
      <c r="N180" s="168">
        <f>G180*L180</f>
        <v>1495486.1350000002</v>
      </c>
      <c r="O180" s="91">
        <v>41736</v>
      </c>
      <c r="P180" s="69"/>
      <c r="Q180" s="69"/>
      <c r="R180" s="69"/>
      <c r="S180" s="69"/>
      <c r="T180" s="69"/>
      <c r="U180" s="69"/>
      <c r="V180" s="69"/>
      <c r="W180" s="69"/>
    </row>
    <row r="181" spans="1:23" s="72" customFormat="1" ht="34.950000000000003" customHeight="1" x14ac:dyDescent="0.25">
      <c r="A181" s="74">
        <v>821</v>
      </c>
      <c r="B181" s="75" t="s">
        <v>522</v>
      </c>
      <c r="C181" s="75">
        <v>2004</v>
      </c>
      <c r="D181" s="85" t="s">
        <v>46</v>
      </c>
      <c r="E181" s="75">
        <v>2014</v>
      </c>
      <c r="F181" s="78" t="s">
        <v>101</v>
      </c>
      <c r="G181" s="77">
        <v>8765.5</v>
      </c>
      <c r="H181" s="77" t="s">
        <v>523</v>
      </c>
      <c r="I181" s="78" t="s">
        <v>41</v>
      </c>
      <c r="J181" s="79">
        <v>148</v>
      </c>
      <c r="K181" s="124">
        <v>1061</v>
      </c>
      <c r="L181" s="125" t="s">
        <v>487</v>
      </c>
      <c r="M181" s="125"/>
      <c r="N181" s="168">
        <f>G181*L181</f>
        <v>1595759.2750000001</v>
      </c>
      <c r="O181" s="91">
        <v>41736</v>
      </c>
      <c r="P181" s="69"/>
      <c r="Q181" s="69"/>
      <c r="R181" s="69"/>
      <c r="S181" s="69"/>
      <c r="T181" s="69"/>
      <c r="U181" s="69"/>
      <c r="V181" s="69"/>
      <c r="W181" s="69"/>
    </row>
    <row r="182" spans="1:23" s="72" customFormat="1" ht="32.4" customHeight="1" x14ac:dyDescent="0.25">
      <c r="A182" s="74"/>
      <c r="B182" s="75" t="s">
        <v>127</v>
      </c>
      <c r="C182" s="75">
        <v>2009</v>
      </c>
      <c r="D182" s="127" t="s">
        <v>44</v>
      </c>
      <c r="E182" s="75" t="s">
        <v>524</v>
      </c>
      <c r="F182" s="120" t="s">
        <v>423</v>
      </c>
      <c r="G182" s="77">
        <v>9000</v>
      </c>
      <c r="H182" s="77" t="s">
        <v>102</v>
      </c>
      <c r="I182" s="78" t="s">
        <v>429</v>
      </c>
      <c r="J182" s="79">
        <v>149</v>
      </c>
      <c r="K182" s="124">
        <v>1062</v>
      </c>
      <c r="L182" s="125" t="s">
        <v>487</v>
      </c>
      <c r="M182" s="125"/>
      <c r="N182" s="168">
        <f>G182*L182</f>
        <v>1638450</v>
      </c>
      <c r="O182" s="91">
        <v>41736</v>
      </c>
      <c r="P182" s="69"/>
      <c r="Q182" s="69"/>
      <c r="R182" s="69"/>
      <c r="S182" s="69"/>
      <c r="T182" s="69"/>
      <c r="U182" s="69"/>
      <c r="V182" s="69"/>
      <c r="W182" s="69"/>
    </row>
    <row r="183" spans="1:23" s="72" customFormat="1" ht="31.5" customHeight="1" x14ac:dyDescent="0.25">
      <c r="A183" s="74"/>
      <c r="B183" s="75" t="s">
        <v>166</v>
      </c>
      <c r="C183" s="75">
        <v>2000</v>
      </c>
      <c r="D183" s="127" t="s">
        <v>44</v>
      </c>
      <c r="E183" s="75" t="s">
        <v>473</v>
      </c>
      <c r="F183" s="120" t="s">
        <v>423</v>
      </c>
      <c r="G183" s="77">
        <v>9000</v>
      </c>
      <c r="H183" s="77" t="s">
        <v>102</v>
      </c>
      <c r="I183" s="78" t="s">
        <v>429</v>
      </c>
      <c r="J183" s="79">
        <v>150</v>
      </c>
      <c r="K183" s="124">
        <v>1063</v>
      </c>
      <c r="L183" s="125" t="s">
        <v>487</v>
      </c>
      <c r="M183" s="125"/>
      <c r="N183" s="168">
        <f>G183*L183</f>
        <v>1638450</v>
      </c>
      <c r="O183" s="91">
        <v>41736</v>
      </c>
      <c r="P183" s="69"/>
      <c r="Q183" s="69"/>
      <c r="R183" s="69"/>
      <c r="S183" s="69"/>
      <c r="T183" s="69"/>
      <c r="U183" s="69"/>
      <c r="V183" s="69"/>
      <c r="W183" s="69"/>
    </row>
    <row r="184" spans="1:23" ht="42" customHeight="1" x14ac:dyDescent="0.25">
      <c r="A184" s="74"/>
      <c r="B184" s="75" t="s">
        <v>81</v>
      </c>
      <c r="C184" s="75">
        <v>2007</v>
      </c>
      <c r="D184" s="75" t="s">
        <v>46</v>
      </c>
      <c r="E184" s="75" t="s">
        <v>524</v>
      </c>
      <c r="F184" s="85" t="s">
        <v>295</v>
      </c>
      <c r="G184" s="77">
        <f>30300*M184/L184</f>
        <v>855.49024993133753</v>
      </c>
      <c r="H184" s="77" t="s">
        <v>526</v>
      </c>
      <c r="I184" s="78" t="s">
        <v>41</v>
      </c>
      <c r="J184" s="79">
        <v>151</v>
      </c>
      <c r="K184" s="124">
        <v>1064</v>
      </c>
      <c r="L184" s="125" t="s">
        <v>487</v>
      </c>
      <c r="M184" s="125" t="s">
        <v>482</v>
      </c>
      <c r="N184" s="168">
        <f>30300*M184</f>
        <v>155742</v>
      </c>
      <c r="O184" s="91">
        <v>41736</v>
      </c>
      <c r="P184" s="69"/>
      <c r="Q184" s="69"/>
      <c r="R184" s="69"/>
      <c r="S184" s="69"/>
      <c r="T184" s="69"/>
      <c r="U184" s="69"/>
      <c r="V184" s="69"/>
      <c r="W184" s="69"/>
    </row>
    <row r="185" spans="1:23" s="72" customFormat="1" ht="42" customHeight="1" x14ac:dyDescent="0.25">
      <c r="A185" s="74">
        <v>822</v>
      </c>
      <c r="B185" s="75" t="s">
        <v>144</v>
      </c>
      <c r="C185" s="75">
        <v>2010</v>
      </c>
      <c r="D185" s="75" t="s">
        <v>406</v>
      </c>
      <c r="E185" s="75">
        <v>2014</v>
      </c>
      <c r="F185" s="120" t="s">
        <v>97</v>
      </c>
      <c r="G185" s="77">
        <f>247350*M185/L185</f>
        <v>6983.6803076077995</v>
      </c>
      <c r="H185" s="77" t="s">
        <v>527</v>
      </c>
      <c r="I185" s="78" t="s">
        <v>429</v>
      </c>
      <c r="J185" s="79">
        <v>152</v>
      </c>
      <c r="K185" s="124">
        <v>1065</v>
      </c>
      <c r="L185" s="125" t="s">
        <v>487</v>
      </c>
      <c r="M185" s="125" t="s">
        <v>482</v>
      </c>
      <c r="N185" s="168">
        <f>247350*M185</f>
        <v>1271379</v>
      </c>
      <c r="O185" s="91">
        <v>41736</v>
      </c>
      <c r="P185" s="69"/>
      <c r="Q185" s="69"/>
      <c r="R185" s="69"/>
      <c r="S185" s="69"/>
      <c r="T185" s="69"/>
      <c r="U185" s="69"/>
      <c r="V185" s="69"/>
      <c r="W185" s="69"/>
    </row>
    <row r="186" spans="1:23" s="72" customFormat="1" ht="42" customHeight="1" x14ac:dyDescent="0.25">
      <c r="A186" s="74"/>
      <c r="B186" s="75" t="s">
        <v>150</v>
      </c>
      <c r="C186" s="75">
        <v>2009</v>
      </c>
      <c r="D186" s="75" t="s">
        <v>406</v>
      </c>
      <c r="E186" s="75">
        <v>2014</v>
      </c>
      <c r="F186" s="120" t="s">
        <v>97</v>
      </c>
      <c r="G186" s="77">
        <f>N186/L186</f>
        <v>6091.2035155177136</v>
      </c>
      <c r="H186" s="77" t="s">
        <v>1304</v>
      </c>
      <c r="I186" s="78" t="s">
        <v>429</v>
      </c>
      <c r="J186" s="79">
        <v>153</v>
      </c>
      <c r="K186" s="124">
        <v>1066</v>
      </c>
      <c r="L186" s="125" t="s">
        <v>487</v>
      </c>
      <c r="M186" s="125" t="s">
        <v>482</v>
      </c>
      <c r="N186" s="168">
        <f>215740*M186</f>
        <v>1108903.5999999999</v>
      </c>
      <c r="O186" s="91">
        <v>41736</v>
      </c>
      <c r="P186" s="69"/>
      <c r="Q186" s="69"/>
      <c r="R186" s="69"/>
      <c r="S186" s="69"/>
      <c r="T186" s="69"/>
      <c r="U186" s="69"/>
      <c r="V186" s="69"/>
      <c r="W186" s="69"/>
    </row>
    <row r="187" spans="1:23" ht="30.75" customHeight="1" x14ac:dyDescent="0.25">
      <c r="A187" s="74">
        <v>823</v>
      </c>
      <c r="B187" s="75" t="s">
        <v>528</v>
      </c>
      <c r="C187" s="75">
        <v>2007</v>
      </c>
      <c r="D187" s="75" t="s">
        <v>46</v>
      </c>
      <c r="E187" s="75">
        <v>2014</v>
      </c>
      <c r="F187" s="128" t="s">
        <v>529</v>
      </c>
      <c r="G187" s="77">
        <f>82100*M187/L187</f>
        <v>2318.0115352925018</v>
      </c>
      <c r="H187" s="77" t="s">
        <v>530</v>
      </c>
      <c r="I187" s="78" t="s">
        <v>41</v>
      </c>
      <c r="J187" s="79">
        <v>154</v>
      </c>
      <c r="K187" s="124">
        <v>1067</v>
      </c>
      <c r="L187" s="125" t="s">
        <v>487</v>
      </c>
      <c r="M187" s="125" t="s">
        <v>482</v>
      </c>
      <c r="N187" s="168">
        <f>82100*M187</f>
        <v>421994</v>
      </c>
      <c r="O187" s="91">
        <v>41736</v>
      </c>
      <c r="P187" s="69"/>
      <c r="Q187" s="69"/>
      <c r="R187" s="69"/>
      <c r="S187" s="69"/>
      <c r="T187" s="69"/>
      <c r="U187" s="69"/>
      <c r="V187" s="69"/>
      <c r="W187" s="69"/>
    </row>
    <row r="188" spans="1:23" s="70" customFormat="1" ht="52.95" customHeight="1" x14ac:dyDescent="0.25">
      <c r="A188" s="74">
        <v>824</v>
      </c>
      <c r="B188" s="75" t="s">
        <v>531</v>
      </c>
      <c r="C188" s="75">
        <v>1999</v>
      </c>
      <c r="D188" s="75" t="s">
        <v>46</v>
      </c>
      <c r="E188" s="75">
        <v>2014</v>
      </c>
      <c r="F188" s="75" t="s">
        <v>293</v>
      </c>
      <c r="G188" s="77">
        <f>N188/L188</f>
        <v>3234.3861576489971</v>
      </c>
      <c r="H188" s="77" t="s">
        <v>859</v>
      </c>
      <c r="I188" s="78" t="s">
        <v>41</v>
      </c>
      <c r="J188" s="79">
        <v>155</v>
      </c>
      <c r="K188" s="124">
        <v>1068</v>
      </c>
      <c r="L188" s="125" t="s">
        <v>487</v>
      </c>
      <c r="M188" s="125" t="s">
        <v>525</v>
      </c>
      <c r="N188" s="168">
        <f>2360*M188</f>
        <v>588820</v>
      </c>
      <c r="O188" s="91">
        <v>41736</v>
      </c>
      <c r="P188" s="69"/>
      <c r="Q188" s="69"/>
      <c r="R188" s="69"/>
      <c r="S188" s="69"/>
      <c r="T188" s="69"/>
      <c r="U188" s="69"/>
      <c r="V188" s="69"/>
      <c r="W188" s="69"/>
    </row>
    <row r="189" spans="1:23" s="72" customFormat="1" ht="42" customHeight="1" x14ac:dyDescent="0.25">
      <c r="A189" s="74"/>
      <c r="B189" s="75" t="s">
        <v>532</v>
      </c>
      <c r="C189" s="75">
        <v>2013</v>
      </c>
      <c r="D189" s="75" t="s">
        <v>46</v>
      </c>
      <c r="E189" s="75" t="s">
        <v>473</v>
      </c>
      <c r="F189" s="128" t="s">
        <v>533</v>
      </c>
      <c r="G189" s="77">
        <f>103475*M189/L189</f>
        <v>2921.5133205163415</v>
      </c>
      <c r="H189" s="77" t="s">
        <v>391</v>
      </c>
      <c r="I189" s="78" t="s">
        <v>41</v>
      </c>
      <c r="J189" s="79">
        <v>156</v>
      </c>
      <c r="K189" s="124">
        <v>1069</v>
      </c>
      <c r="L189" s="125" t="s">
        <v>487</v>
      </c>
      <c r="M189" s="125" t="s">
        <v>482</v>
      </c>
      <c r="N189" s="168">
        <f>103475*M189</f>
        <v>531861.5</v>
      </c>
      <c r="O189" s="91">
        <v>41736</v>
      </c>
      <c r="P189" s="69"/>
      <c r="Q189" s="69"/>
      <c r="R189" s="69"/>
      <c r="S189" s="69"/>
      <c r="T189" s="69"/>
      <c r="U189" s="69"/>
      <c r="V189" s="69"/>
      <c r="W189" s="69"/>
    </row>
    <row r="190" spans="1:23" ht="29.4" customHeight="1" x14ac:dyDescent="0.25">
      <c r="A190" s="74">
        <v>825</v>
      </c>
      <c r="B190" s="75" t="s">
        <v>502</v>
      </c>
      <c r="C190" s="75">
        <v>2010</v>
      </c>
      <c r="D190" s="75" t="s">
        <v>46</v>
      </c>
      <c r="E190" s="75">
        <v>2014</v>
      </c>
      <c r="F190" s="93" t="s">
        <v>63</v>
      </c>
      <c r="G190" s="77">
        <f>194712/L190</f>
        <v>1069.5523207909914</v>
      </c>
      <c r="H190" s="77" t="s">
        <v>500</v>
      </c>
      <c r="I190" s="78" t="s">
        <v>41</v>
      </c>
      <c r="J190" s="79">
        <v>157</v>
      </c>
      <c r="K190" s="124">
        <v>1070</v>
      </c>
      <c r="L190" s="125" t="s">
        <v>487</v>
      </c>
      <c r="M190" s="125"/>
      <c r="N190" s="168">
        <v>194712</v>
      </c>
      <c r="O190" s="91">
        <v>41736</v>
      </c>
      <c r="P190" s="69"/>
      <c r="Q190" s="69"/>
      <c r="R190" s="69"/>
      <c r="S190" s="69"/>
      <c r="T190" s="69"/>
      <c r="U190" s="69"/>
      <c r="V190" s="69"/>
      <c r="W190" s="69"/>
    </row>
    <row r="191" spans="1:23" ht="33" customHeight="1" x14ac:dyDescent="0.25">
      <c r="A191" s="74">
        <v>826</v>
      </c>
      <c r="B191" s="75" t="s">
        <v>503</v>
      </c>
      <c r="C191" s="75">
        <v>2010</v>
      </c>
      <c r="D191" s="75" t="s">
        <v>46</v>
      </c>
      <c r="E191" s="75">
        <v>2014</v>
      </c>
      <c r="F191" s="93" t="s">
        <v>63</v>
      </c>
      <c r="G191" s="77">
        <f>N191/L191</f>
        <v>1920.4833836858004</v>
      </c>
      <c r="H191" s="77" t="s">
        <v>1248</v>
      </c>
      <c r="I191" s="78" t="s">
        <v>41</v>
      </c>
      <c r="J191" s="79">
        <v>158</v>
      </c>
      <c r="K191" s="124">
        <v>1071</v>
      </c>
      <c r="L191" s="125" t="s">
        <v>487</v>
      </c>
      <c r="M191" s="125"/>
      <c r="N191" s="168">
        <v>349624</v>
      </c>
      <c r="O191" s="91">
        <v>41736</v>
      </c>
      <c r="P191" s="69"/>
      <c r="Q191" s="69"/>
      <c r="R191" s="69"/>
      <c r="S191" s="69"/>
      <c r="T191" s="69"/>
      <c r="U191" s="69"/>
      <c r="V191" s="69"/>
      <c r="W191" s="69"/>
    </row>
    <row r="192" spans="1:23" s="67" customFormat="1" ht="42" customHeight="1" x14ac:dyDescent="0.25">
      <c r="A192" s="74">
        <v>827</v>
      </c>
      <c r="B192" s="75" t="s">
        <v>1323</v>
      </c>
      <c r="C192" s="75">
        <v>2006</v>
      </c>
      <c r="D192" s="75" t="s">
        <v>46</v>
      </c>
      <c r="E192" s="75">
        <v>2014</v>
      </c>
      <c r="F192" s="128" t="s">
        <v>47</v>
      </c>
      <c r="G192" s="77">
        <f>N192/L192</f>
        <v>5434.1982971711059</v>
      </c>
      <c r="H192" s="77" t="s">
        <v>1324</v>
      </c>
      <c r="I192" s="78" t="s">
        <v>720</v>
      </c>
      <c r="J192" s="79">
        <v>159</v>
      </c>
      <c r="K192" s="124">
        <v>1072</v>
      </c>
      <c r="L192" s="125" t="s">
        <v>487</v>
      </c>
      <c r="M192" s="125" t="s">
        <v>482</v>
      </c>
      <c r="N192" s="168">
        <f>192470*M192</f>
        <v>989295.79999999993</v>
      </c>
      <c r="O192" s="91">
        <v>41736</v>
      </c>
      <c r="P192" s="69"/>
      <c r="Q192" s="69"/>
      <c r="R192" s="69"/>
      <c r="S192" s="69"/>
      <c r="T192" s="69"/>
      <c r="U192" s="69"/>
      <c r="V192" s="69"/>
      <c r="W192" s="69"/>
    </row>
    <row r="193" spans="1:23" s="72" customFormat="1" ht="42" customHeight="1" x14ac:dyDescent="0.25">
      <c r="A193" s="74"/>
      <c r="B193" s="75" t="s">
        <v>144</v>
      </c>
      <c r="C193" s="75">
        <v>2010</v>
      </c>
      <c r="D193" s="75" t="s">
        <v>406</v>
      </c>
      <c r="E193" s="75" t="s">
        <v>473</v>
      </c>
      <c r="F193" s="120" t="s">
        <v>97</v>
      </c>
      <c r="G193" s="77">
        <f>247350*M193/L193</f>
        <v>6957.2707795418337</v>
      </c>
      <c r="H193" s="77" t="s">
        <v>527</v>
      </c>
      <c r="I193" s="78" t="s">
        <v>429</v>
      </c>
      <c r="J193" s="79">
        <v>160</v>
      </c>
      <c r="K193" s="124">
        <v>1073</v>
      </c>
      <c r="L193" s="125" t="s">
        <v>498</v>
      </c>
      <c r="M193" s="125" t="s">
        <v>506</v>
      </c>
      <c r="N193" s="168">
        <f>247350*M193</f>
        <v>1266432</v>
      </c>
      <c r="O193" s="91">
        <v>41737</v>
      </c>
      <c r="P193" s="69"/>
      <c r="Q193" s="69"/>
      <c r="R193" s="69"/>
      <c r="S193" s="69"/>
      <c r="T193" s="69"/>
      <c r="U193" s="69"/>
      <c r="V193" s="69"/>
      <c r="W193" s="69"/>
    </row>
    <row r="194" spans="1:23" s="72" customFormat="1" ht="42" customHeight="1" x14ac:dyDescent="0.25">
      <c r="A194" s="74"/>
      <c r="B194" s="75" t="s">
        <v>150</v>
      </c>
      <c r="C194" s="75">
        <v>2009</v>
      </c>
      <c r="D194" s="75" t="s">
        <v>406</v>
      </c>
      <c r="E194" s="75" t="s">
        <v>473</v>
      </c>
      <c r="F194" s="120" t="s">
        <v>97</v>
      </c>
      <c r="G194" s="77">
        <f>247350*M194/L194</f>
        <v>6957.2707795418337</v>
      </c>
      <c r="H194" s="77" t="s">
        <v>527</v>
      </c>
      <c r="I194" s="78" t="s">
        <v>429</v>
      </c>
      <c r="J194" s="79">
        <v>161</v>
      </c>
      <c r="K194" s="124">
        <v>1074</v>
      </c>
      <c r="L194" s="125" t="s">
        <v>498</v>
      </c>
      <c r="M194" s="125" t="s">
        <v>506</v>
      </c>
      <c r="N194" s="168">
        <f>247350*M194</f>
        <v>1266432</v>
      </c>
      <c r="O194" s="91">
        <v>41737</v>
      </c>
      <c r="P194" s="69"/>
      <c r="Q194" s="69"/>
      <c r="R194" s="69"/>
      <c r="S194" s="69"/>
      <c r="T194" s="69"/>
      <c r="U194" s="69"/>
      <c r="V194" s="69"/>
      <c r="W194" s="69"/>
    </row>
    <row r="195" spans="1:23" s="72" customFormat="1" ht="30" customHeight="1" x14ac:dyDescent="0.25">
      <c r="A195" s="74"/>
      <c r="B195" s="75" t="s">
        <v>166</v>
      </c>
      <c r="C195" s="75">
        <v>2000</v>
      </c>
      <c r="D195" s="127" t="s">
        <v>44</v>
      </c>
      <c r="E195" s="75" t="s">
        <v>524</v>
      </c>
      <c r="F195" s="120" t="s">
        <v>423</v>
      </c>
      <c r="G195" s="77">
        <v>1300</v>
      </c>
      <c r="H195" s="77" t="s">
        <v>185</v>
      </c>
      <c r="I195" s="78" t="s">
        <v>429</v>
      </c>
      <c r="J195" s="79">
        <v>162</v>
      </c>
      <c r="K195" s="124">
        <v>1075</v>
      </c>
      <c r="L195" s="125" t="s">
        <v>498</v>
      </c>
      <c r="M195" s="125"/>
      <c r="N195" s="168">
        <f>G195*L195</f>
        <v>236639</v>
      </c>
      <c r="O195" s="91">
        <v>41737</v>
      </c>
      <c r="P195" s="69"/>
      <c r="Q195" s="69"/>
      <c r="R195" s="69"/>
      <c r="S195" s="69"/>
      <c r="T195" s="69"/>
      <c r="U195" s="69"/>
      <c r="V195" s="69"/>
      <c r="W195" s="69"/>
    </row>
    <row r="196" spans="1:23" s="72" customFormat="1" ht="34.200000000000003" customHeight="1" x14ac:dyDescent="0.25">
      <c r="A196" s="74"/>
      <c r="B196" s="75" t="s">
        <v>127</v>
      </c>
      <c r="C196" s="75">
        <v>2009</v>
      </c>
      <c r="D196" s="127" t="s">
        <v>44</v>
      </c>
      <c r="E196" s="75" t="s">
        <v>466</v>
      </c>
      <c r="F196" s="120" t="s">
        <v>423</v>
      </c>
      <c r="G196" s="77">
        <v>1300</v>
      </c>
      <c r="H196" s="77" t="s">
        <v>185</v>
      </c>
      <c r="I196" s="78" t="s">
        <v>429</v>
      </c>
      <c r="J196" s="79">
        <v>163</v>
      </c>
      <c r="K196" s="124">
        <v>1076</v>
      </c>
      <c r="L196" s="125" t="s">
        <v>498</v>
      </c>
      <c r="M196" s="125"/>
      <c r="N196" s="168">
        <f>G196*L196</f>
        <v>236639</v>
      </c>
      <c r="O196" s="91">
        <v>41737</v>
      </c>
      <c r="P196" s="69"/>
      <c r="Q196" s="69"/>
      <c r="R196" s="69"/>
      <c r="S196" s="69"/>
      <c r="T196" s="69"/>
      <c r="U196" s="69"/>
      <c r="V196" s="69"/>
      <c r="W196" s="69"/>
    </row>
    <row r="197" spans="1:23" s="72" customFormat="1" ht="33" customHeight="1" x14ac:dyDescent="0.25">
      <c r="A197" s="74">
        <v>828</v>
      </c>
      <c r="B197" s="75" t="s">
        <v>486</v>
      </c>
      <c r="C197" s="75">
        <v>2008</v>
      </c>
      <c r="D197" s="75" t="s">
        <v>46</v>
      </c>
      <c r="E197" s="75">
        <v>2014</v>
      </c>
      <c r="F197" s="96" t="s">
        <v>534</v>
      </c>
      <c r="G197" s="77">
        <f>36000*M197/L197</f>
        <v>5794.6492336428064</v>
      </c>
      <c r="H197" s="77" t="s">
        <v>535</v>
      </c>
      <c r="I197" s="78" t="s">
        <v>41</v>
      </c>
      <c r="J197" s="79">
        <v>164</v>
      </c>
      <c r="K197" s="124">
        <v>1077</v>
      </c>
      <c r="L197" s="125" t="s">
        <v>498</v>
      </c>
      <c r="M197" s="125" t="s">
        <v>488</v>
      </c>
      <c r="N197" s="168">
        <f>36000*M197</f>
        <v>1054800</v>
      </c>
      <c r="O197" s="91">
        <v>41737</v>
      </c>
      <c r="P197" s="69"/>
      <c r="Q197" s="69"/>
      <c r="R197" s="69"/>
      <c r="S197" s="69"/>
      <c r="T197" s="69"/>
      <c r="U197" s="69"/>
      <c r="V197" s="69"/>
      <c r="W197" s="69"/>
    </row>
    <row r="198" spans="1:23" ht="42" customHeight="1" x14ac:dyDescent="0.25">
      <c r="A198" s="74"/>
      <c r="B198" s="75" t="s">
        <v>15</v>
      </c>
      <c r="C198" s="75">
        <v>2010</v>
      </c>
      <c r="D198" s="85" t="s">
        <v>320</v>
      </c>
      <c r="E198" s="75" t="s">
        <v>536</v>
      </c>
      <c r="F198" s="75" t="s">
        <v>240</v>
      </c>
      <c r="G198" s="77">
        <v>9000</v>
      </c>
      <c r="H198" s="77" t="s">
        <v>102</v>
      </c>
      <c r="I198" s="78" t="s">
        <v>48</v>
      </c>
      <c r="J198" s="79">
        <v>165</v>
      </c>
      <c r="K198" s="124">
        <v>1078</v>
      </c>
      <c r="L198" s="125" t="s">
        <v>537</v>
      </c>
      <c r="M198" s="125"/>
      <c r="N198" s="168">
        <f>G198*L198</f>
        <v>1638630</v>
      </c>
      <c r="O198" s="91">
        <v>41739</v>
      </c>
      <c r="P198" s="69"/>
      <c r="Q198" s="69"/>
      <c r="R198" s="69"/>
      <c r="S198" s="69"/>
      <c r="T198" s="69"/>
      <c r="U198" s="69"/>
      <c r="V198" s="69"/>
      <c r="W198" s="69"/>
    </row>
    <row r="199" spans="1:23" ht="52.5" customHeight="1" x14ac:dyDescent="0.25">
      <c r="A199" s="74"/>
      <c r="B199" s="75" t="s">
        <v>198</v>
      </c>
      <c r="C199" s="75">
        <v>2005</v>
      </c>
      <c r="D199" s="75" t="s">
        <v>209</v>
      </c>
      <c r="E199" s="75">
        <v>2014</v>
      </c>
      <c r="F199" s="75" t="s">
        <v>208</v>
      </c>
      <c r="G199" s="77">
        <f>198000*M199/L199</f>
        <v>5616.9055857637177</v>
      </c>
      <c r="H199" s="77" t="s">
        <v>199</v>
      </c>
      <c r="I199" s="78" t="s">
        <v>41</v>
      </c>
      <c r="J199" s="79">
        <v>166</v>
      </c>
      <c r="K199" s="124">
        <v>1079</v>
      </c>
      <c r="L199" s="125" t="s">
        <v>537</v>
      </c>
      <c r="M199" s="125" t="s">
        <v>538</v>
      </c>
      <c r="N199" s="168">
        <f>198000*M199</f>
        <v>1022670</v>
      </c>
      <c r="O199" s="91">
        <v>41739</v>
      </c>
      <c r="P199" s="69"/>
      <c r="Q199" s="69"/>
      <c r="R199" s="69"/>
      <c r="S199" s="69"/>
      <c r="T199" s="69"/>
      <c r="U199" s="69"/>
      <c r="V199" s="69"/>
      <c r="W199" s="69"/>
    </row>
    <row r="200" spans="1:23" ht="42" customHeight="1" x14ac:dyDescent="0.25">
      <c r="A200" s="74"/>
      <c r="B200" s="75" t="s">
        <v>539</v>
      </c>
      <c r="C200" s="75">
        <v>2009</v>
      </c>
      <c r="D200" s="75" t="s">
        <v>46</v>
      </c>
      <c r="E200" s="75" t="s">
        <v>540</v>
      </c>
      <c r="F200" s="129" t="s">
        <v>47</v>
      </c>
      <c r="G200" s="77">
        <f>211150*M200/L200</f>
        <v>5982.6413383880008</v>
      </c>
      <c r="H200" s="77" t="s">
        <v>541</v>
      </c>
      <c r="I200" s="78" t="s">
        <v>41</v>
      </c>
      <c r="J200" s="79">
        <v>167</v>
      </c>
      <c r="K200" s="124">
        <v>1080</v>
      </c>
      <c r="L200" s="125" t="s">
        <v>542</v>
      </c>
      <c r="M200" s="125" t="s">
        <v>543</v>
      </c>
      <c r="N200" s="168">
        <f>211150*M200</f>
        <v>1088900.55</v>
      </c>
      <c r="O200" s="91">
        <v>41740</v>
      </c>
      <c r="P200" s="69"/>
      <c r="Q200" s="69"/>
      <c r="R200" s="69"/>
      <c r="S200" s="69"/>
      <c r="T200" s="69"/>
      <c r="U200" s="69"/>
      <c r="V200" s="69"/>
      <c r="W200" s="69"/>
    </row>
    <row r="201" spans="1:23" ht="33" customHeight="1" x14ac:dyDescent="0.25">
      <c r="A201" s="74"/>
      <c r="B201" s="75" t="s">
        <v>474</v>
      </c>
      <c r="C201" s="75">
        <v>2000</v>
      </c>
      <c r="D201" s="85" t="s">
        <v>475</v>
      </c>
      <c r="E201" s="75" t="s">
        <v>473</v>
      </c>
      <c r="F201" s="75" t="s">
        <v>240</v>
      </c>
      <c r="G201" s="77">
        <v>9800</v>
      </c>
      <c r="H201" s="77" t="s">
        <v>167</v>
      </c>
      <c r="I201" s="78" t="s">
        <v>429</v>
      </c>
      <c r="J201" s="79">
        <v>168</v>
      </c>
      <c r="K201" s="124">
        <v>1081</v>
      </c>
      <c r="L201" s="125" t="s">
        <v>542</v>
      </c>
      <c r="M201" s="125"/>
      <c r="N201" s="168">
        <f>G201*L201</f>
        <v>1783698</v>
      </c>
      <c r="O201" s="91">
        <v>41740</v>
      </c>
      <c r="P201" s="69"/>
      <c r="Q201" s="69"/>
      <c r="R201" s="69"/>
      <c r="S201" s="69"/>
      <c r="T201" s="69"/>
      <c r="U201" s="69"/>
      <c r="V201" s="69"/>
      <c r="W201" s="69"/>
    </row>
    <row r="202" spans="1:23" ht="42" customHeight="1" x14ac:dyDescent="0.25">
      <c r="A202" s="74">
        <v>829</v>
      </c>
      <c r="B202" s="75" t="s">
        <v>544</v>
      </c>
      <c r="C202" s="75">
        <v>2008</v>
      </c>
      <c r="D202" s="75" t="s">
        <v>46</v>
      </c>
      <c r="E202" s="75">
        <v>2014</v>
      </c>
      <c r="F202" s="85" t="s">
        <v>85</v>
      </c>
      <c r="G202" s="77">
        <f>58000*M202/L202</f>
        <v>1627.3266673991868</v>
      </c>
      <c r="H202" s="77" t="s">
        <v>545</v>
      </c>
      <c r="I202" s="78" t="s">
        <v>41</v>
      </c>
      <c r="J202" s="79">
        <v>169</v>
      </c>
      <c r="K202" s="124">
        <v>1082</v>
      </c>
      <c r="L202" s="125" t="s">
        <v>476</v>
      </c>
      <c r="M202" s="125" t="s">
        <v>546</v>
      </c>
      <c r="N202" s="168">
        <f>58000*M202</f>
        <v>296206</v>
      </c>
      <c r="O202" s="91">
        <v>41743</v>
      </c>
      <c r="P202" s="69"/>
      <c r="Q202" s="69"/>
      <c r="R202" s="69"/>
      <c r="S202" s="69"/>
      <c r="T202" s="69"/>
      <c r="U202" s="69"/>
      <c r="V202" s="69"/>
      <c r="W202" s="69"/>
    </row>
    <row r="203" spans="1:23" ht="42" customHeight="1" x14ac:dyDescent="0.25">
      <c r="A203" s="74"/>
      <c r="B203" s="75" t="s">
        <v>235</v>
      </c>
      <c r="C203" s="75">
        <v>2010</v>
      </c>
      <c r="D203" s="75" t="s">
        <v>46</v>
      </c>
      <c r="E203" s="75" t="s">
        <v>435</v>
      </c>
      <c r="F203" s="85" t="s">
        <v>85</v>
      </c>
      <c r="G203" s="77">
        <f>52550*M203/L203</f>
        <v>1474.4140753763324</v>
      </c>
      <c r="H203" s="77" t="s">
        <v>547</v>
      </c>
      <c r="I203" s="78" t="s">
        <v>41</v>
      </c>
      <c r="J203" s="79">
        <v>170</v>
      </c>
      <c r="K203" s="124">
        <v>1083</v>
      </c>
      <c r="L203" s="125" t="s">
        <v>476</v>
      </c>
      <c r="M203" s="125" t="s">
        <v>546</v>
      </c>
      <c r="N203" s="168">
        <f>52550*M203</f>
        <v>268372.85000000003</v>
      </c>
      <c r="O203" s="91">
        <v>41743</v>
      </c>
      <c r="P203" s="69"/>
      <c r="Q203" s="69"/>
      <c r="R203" s="69"/>
      <c r="S203" s="69"/>
      <c r="T203" s="69"/>
      <c r="U203" s="69"/>
      <c r="V203" s="69"/>
      <c r="W203" s="69"/>
    </row>
    <row r="204" spans="1:23" ht="42" customHeight="1" x14ac:dyDescent="0.25">
      <c r="A204" s="74"/>
      <c r="B204" s="75" t="s">
        <v>108</v>
      </c>
      <c r="C204" s="75">
        <v>2009</v>
      </c>
      <c r="D204" s="75" t="s">
        <v>46</v>
      </c>
      <c r="E204" s="75" t="s">
        <v>524</v>
      </c>
      <c r="F204" s="85" t="s">
        <v>266</v>
      </c>
      <c r="G204" s="77">
        <f>167300*M204/L204</f>
        <v>4693.9957147566201</v>
      </c>
      <c r="H204" s="77" t="s">
        <v>548</v>
      </c>
      <c r="I204" s="78" t="s">
        <v>41</v>
      </c>
      <c r="J204" s="79">
        <v>171</v>
      </c>
      <c r="K204" s="124">
        <v>1084</v>
      </c>
      <c r="L204" s="125" t="s">
        <v>476</v>
      </c>
      <c r="M204" s="125" t="s">
        <v>546</v>
      </c>
      <c r="N204" s="168">
        <f>167300*M204</f>
        <v>854401.1</v>
      </c>
      <c r="O204" s="91">
        <v>41743</v>
      </c>
      <c r="P204" s="69"/>
      <c r="Q204" s="69"/>
      <c r="R204" s="69"/>
      <c r="S204" s="69"/>
      <c r="T204" s="69"/>
      <c r="U204" s="69"/>
      <c r="V204" s="69"/>
      <c r="W204" s="69"/>
    </row>
    <row r="205" spans="1:23" s="72" customFormat="1" ht="53.4" customHeight="1" x14ac:dyDescent="0.25">
      <c r="A205" s="74">
        <v>830</v>
      </c>
      <c r="B205" s="75" t="s">
        <v>549</v>
      </c>
      <c r="C205" s="75">
        <v>2011</v>
      </c>
      <c r="D205" s="75" t="s">
        <v>46</v>
      </c>
      <c r="E205" s="75">
        <v>2014</v>
      </c>
      <c r="F205" s="75" t="s">
        <v>293</v>
      </c>
      <c r="G205" s="77">
        <f>3712*M205/L205</f>
        <v>5197.6565212613996</v>
      </c>
      <c r="H205" s="77" t="s">
        <v>248</v>
      </c>
      <c r="I205" s="78" t="s">
        <v>41</v>
      </c>
      <c r="J205" s="79">
        <v>172</v>
      </c>
      <c r="K205" s="124">
        <v>1085</v>
      </c>
      <c r="L205" s="125" t="s">
        <v>476</v>
      </c>
      <c r="M205" s="125" t="s">
        <v>550</v>
      </c>
      <c r="N205" s="168">
        <f>3712*M205</f>
        <v>946077.44000000006</v>
      </c>
      <c r="O205" s="91">
        <v>41743</v>
      </c>
      <c r="P205" s="69"/>
      <c r="Q205" s="69"/>
      <c r="R205" s="69"/>
      <c r="S205" s="69"/>
      <c r="T205" s="69"/>
      <c r="U205" s="69"/>
      <c r="V205" s="69"/>
      <c r="W205" s="69"/>
    </row>
    <row r="206" spans="1:23" s="72" customFormat="1" ht="76.5" customHeight="1" x14ac:dyDescent="0.25">
      <c r="A206" s="74">
        <v>831</v>
      </c>
      <c r="B206" s="75" t="s">
        <v>551</v>
      </c>
      <c r="C206" s="75">
        <v>2008</v>
      </c>
      <c r="D206" s="75" t="s">
        <v>46</v>
      </c>
      <c r="E206" s="75">
        <v>2014</v>
      </c>
      <c r="F206" s="93" t="s">
        <v>66</v>
      </c>
      <c r="G206" s="77">
        <v>1300</v>
      </c>
      <c r="H206" s="77" t="s">
        <v>185</v>
      </c>
      <c r="I206" s="78" t="s">
        <v>41</v>
      </c>
      <c r="J206" s="79">
        <v>173</v>
      </c>
      <c r="K206" s="124">
        <v>1086</v>
      </c>
      <c r="L206" s="125" t="s">
        <v>552</v>
      </c>
      <c r="M206" s="125"/>
      <c r="N206" s="168">
        <f t="shared" ref="N206:N216" si="0">G206*L206</f>
        <v>237445</v>
      </c>
      <c r="O206" s="91">
        <v>41743</v>
      </c>
      <c r="P206" s="69"/>
      <c r="Q206" s="69"/>
      <c r="R206" s="69"/>
      <c r="S206" s="69"/>
      <c r="T206" s="69"/>
      <c r="U206" s="69"/>
      <c r="V206" s="69"/>
      <c r="W206" s="69"/>
    </row>
    <row r="207" spans="1:23" s="72" customFormat="1" ht="72" customHeight="1" x14ac:dyDescent="0.25">
      <c r="A207" s="74">
        <v>832</v>
      </c>
      <c r="B207" s="75" t="s">
        <v>553</v>
      </c>
      <c r="C207" s="75">
        <v>2009</v>
      </c>
      <c r="D207" s="75" t="s">
        <v>46</v>
      </c>
      <c r="E207" s="75">
        <v>2014</v>
      </c>
      <c r="F207" s="93" t="s">
        <v>66</v>
      </c>
      <c r="G207" s="77">
        <v>1300</v>
      </c>
      <c r="H207" s="77" t="s">
        <v>185</v>
      </c>
      <c r="I207" s="78" t="s">
        <v>41</v>
      </c>
      <c r="J207" s="79">
        <v>174</v>
      </c>
      <c r="K207" s="124">
        <v>1087</v>
      </c>
      <c r="L207" s="125" t="s">
        <v>552</v>
      </c>
      <c r="M207" s="125"/>
      <c r="N207" s="168">
        <f t="shared" si="0"/>
        <v>237445</v>
      </c>
      <c r="O207" s="91">
        <v>41743</v>
      </c>
      <c r="P207" s="69"/>
      <c r="Q207" s="69"/>
      <c r="R207" s="69"/>
      <c r="S207" s="69"/>
      <c r="T207" s="69"/>
      <c r="U207" s="69"/>
      <c r="V207" s="69"/>
      <c r="W207" s="69"/>
    </row>
    <row r="208" spans="1:23" s="72" customFormat="1" ht="72" customHeight="1" x14ac:dyDescent="0.25">
      <c r="A208" s="74">
        <v>833</v>
      </c>
      <c r="B208" s="75" t="s">
        <v>554</v>
      </c>
      <c r="C208" s="75">
        <v>2010</v>
      </c>
      <c r="D208" s="75" t="s">
        <v>46</v>
      </c>
      <c r="E208" s="75">
        <v>2014</v>
      </c>
      <c r="F208" s="93" t="s">
        <v>66</v>
      </c>
      <c r="G208" s="77">
        <v>1300</v>
      </c>
      <c r="H208" s="77" t="s">
        <v>185</v>
      </c>
      <c r="I208" s="78" t="s">
        <v>41</v>
      </c>
      <c r="J208" s="79">
        <v>175</v>
      </c>
      <c r="K208" s="124">
        <v>1088</v>
      </c>
      <c r="L208" s="125" t="s">
        <v>552</v>
      </c>
      <c r="M208" s="125"/>
      <c r="N208" s="168">
        <f t="shared" si="0"/>
        <v>237445</v>
      </c>
      <c r="O208" s="91">
        <v>41743</v>
      </c>
      <c r="P208" s="69"/>
      <c r="Q208" s="69"/>
      <c r="R208" s="69"/>
      <c r="S208" s="69"/>
      <c r="T208" s="69"/>
      <c r="U208" s="69"/>
      <c r="V208" s="69"/>
      <c r="W208" s="69"/>
    </row>
    <row r="209" spans="1:23" s="72" customFormat="1" ht="72" customHeight="1" x14ac:dyDescent="0.25">
      <c r="A209" s="74"/>
      <c r="B209" s="75" t="s">
        <v>73</v>
      </c>
      <c r="C209" s="75">
        <v>2003</v>
      </c>
      <c r="D209" s="75" t="s">
        <v>46</v>
      </c>
      <c r="E209" s="75" t="s">
        <v>524</v>
      </c>
      <c r="F209" s="93" t="s">
        <v>66</v>
      </c>
      <c r="G209" s="77">
        <v>1300</v>
      </c>
      <c r="H209" s="77" t="s">
        <v>185</v>
      </c>
      <c r="I209" s="78" t="s">
        <v>41</v>
      </c>
      <c r="J209" s="79">
        <v>176</v>
      </c>
      <c r="K209" s="124">
        <v>1089</v>
      </c>
      <c r="L209" s="125" t="s">
        <v>552</v>
      </c>
      <c r="M209" s="125"/>
      <c r="N209" s="168">
        <f t="shared" si="0"/>
        <v>237445</v>
      </c>
      <c r="O209" s="91">
        <v>41743</v>
      </c>
      <c r="P209" s="69"/>
      <c r="Q209" s="69"/>
      <c r="R209" s="69"/>
      <c r="S209" s="69"/>
      <c r="T209" s="69"/>
      <c r="U209" s="69"/>
      <c r="V209" s="69"/>
      <c r="W209" s="69"/>
    </row>
    <row r="210" spans="1:23" s="72" customFormat="1" ht="72" customHeight="1" x14ac:dyDescent="0.25">
      <c r="A210" s="74">
        <v>834</v>
      </c>
      <c r="B210" s="75" t="s">
        <v>555</v>
      </c>
      <c r="C210" s="75">
        <v>2010</v>
      </c>
      <c r="D210" s="75" t="s">
        <v>46</v>
      </c>
      <c r="E210" s="75">
        <v>2014</v>
      </c>
      <c r="F210" s="93" t="s">
        <v>66</v>
      </c>
      <c r="G210" s="77">
        <v>1300</v>
      </c>
      <c r="H210" s="77" t="s">
        <v>185</v>
      </c>
      <c r="I210" s="78" t="s">
        <v>41</v>
      </c>
      <c r="J210" s="79">
        <v>177</v>
      </c>
      <c r="K210" s="124">
        <v>1090</v>
      </c>
      <c r="L210" s="125" t="s">
        <v>552</v>
      </c>
      <c r="M210" s="125"/>
      <c r="N210" s="168">
        <f t="shared" si="0"/>
        <v>237445</v>
      </c>
      <c r="O210" s="91">
        <v>41743</v>
      </c>
      <c r="P210" s="69"/>
      <c r="Q210" s="69"/>
      <c r="R210" s="69"/>
      <c r="S210" s="69"/>
      <c r="T210" s="69"/>
      <c r="U210" s="69"/>
      <c r="V210" s="69"/>
      <c r="W210" s="69"/>
    </row>
    <row r="211" spans="1:23" s="72" customFormat="1" ht="72" customHeight="1" x14ac:dyDescent="0.25">
      <c r="A211" s="74"/>
      <c r="B211" s="75" t="s">
        <v>80</v>
      </c>
      <c r="C211" s="75">
        <v>2011</v>
      </c>
      <c r="D211" s="75" t="s">
        <v>46</v>
      </c>
      <c r="E211" s="75" t="s">
        <v>524</v>
      </c>
      <c r="F211" s="93" t="s">
        <v>66</v>
      </c>
      <c r="G211" s="77">
        <v>1300</v>
      </c>
      <c r="H211" s="77" t="s">
        <v>185</v>
      </c>
      <c r="I211" s="78" t="s">
        <v>41</v>
      </c>
      <c r="J211" s="79">
        <v>178</v>
      </c>
      <c r="K211" s="124">
        <v>1091</v>
      </c>
      <c r="L211" s="125" t="s">
        <v>552</v>
      </c>
      <c r="M211" s="125"/>
      <c r="N211" s="168">
        <f t="shared" si="0"/>
        <v>237445</v>
      </c>
      <c r="O211" s="91">
        <v>41743</v>
      </c>
      <c r="P211" s="69"/>
      <c r="Q211" s="69"/>
      <c r="R211" s="69"/>
      <c r="S211" s="69"/>
      <c r="T211" s="69"/>
      <c r="U211" s="69"/>
      <c r="V211" s="69"/>
      <c r="W211" s="69"/>
    </row>
    <row r="212" spans="1:23" s="72" customFormat="1" ht="72" customHeight="1" x14ac:dyDescent="0.25">
      <c r="A212" s="74"/>
      <c r="B212" s="75" t="s">
        <v>189</v>
      </c>
      <c r="C212" s="75">
        <v>2012</v>
      </c>
      <c r="D212" s="75" t="s">
        <v>46</v>
      </c>
      <c r="E212" s="75" t="s">
        <v>473</v>
      </c>
      <c r="F212" s="93" t="s">
        <v>66</v>
      </c>
      <c r="G212" s="77">
        <v>1300</v>
      </c>
      <c r="H212" s="77" t="s">
        <v>185</v>
      </c>
      <c r="I212" s="78" t="s">
        <v>41</v>
      </c>
      <c r="J212" s="79">
        <v>179</v>
      </c>
      <c r="K212" s="124">
        <v>1092</v>
      </c>
      <c r="L212" s="125" t="s">
        <v>552</v>
      </c>
      <c r="M212" s="125"/>
      <c r="N212" s="168">
        <f t="shared" si="0"/>
        <v>237445</v>
      </c>
      <c r="O212" s="91">
        <v>41743</v>
      </c>
      <c r="P212" s="69"/>
      <c r="Q212" s="69"/>
      <c r="R212" s="69"/>
      <c r="S212" s="69"/>
      <c r="T212" s="69"/>
      <c r="U212" s="69"/>
      <c r="V212" s="69"/>
      <c r="W212" s="69"/>
    </row>
    <row r="213" spans="1:23" s="72" customFormat="1" ht="72" customHeight="1" x14ac:dyDescent="0.25">
      <c r="A213" s="74"/>
      <c r="B213" s="75" t="s">
        <v>79</v>
      </c>
      <c r="C213" s="75">
        <v>2005</v>
      </c>
      <c r="D213" s="75" t="s">
        <v>46</v>
      </c>
      <c r="E213" s="75" t="s">
        <v>524</v>
      </c>
      <c r="F213" s="93" t="s">
        <v>66</v>
      </c>
      <c r="G213" s="77">
        <v>1300</v>
      </c>
      <c r="H213" s="77" t="s">
        <v>185</v>
      </c>
      <c r="I213" s="78" t="s">
        <v>41</v>
      </c>
      <c r="J213" s="79">
        <v>180</v>
      </c>
      <c r="K213" s="124">
        <v>1093</v>
      </c>
      <c r="L213" s="125" t="s">
        <v>552</v>
      </c>
      <c r="M213" s="125"/>
      <c r="N213" s="168">
        <f t="shared" si="0"/>
        <v>237445</v>
      </c>
      <c r="O213" s="91">
        <v>41744</v>
      </c>
      <c r="P213" s="69"/>
      <c r="Q213" s="69"/>
      <c r="R213" s="69"/>
      <c r="S213" s="69"/>
      <c r="T213" s="69"/>
      <c r="U213" s="69"/>
      <c r="V213" s="69"/>
      <c r="W213" s="69"/>
    </row>
    <row r="214" spans="1:23" s="72" customFormat="1" ht="72" customHeight="1" x14ac:dyDescent="0.25">
      <c r="A214" s="74"/>
      <c r="B214" s="75" t="s">
        <v>71</v>
      </c>
      <c r="C214" s="75">
        <v>2012</v>
      </c>
      <c r="D214" s="75" t="s">
        <v>46</v>
      </c>
      <c r="E214" s="75" t="s">
        <v>524</v>
      </c>
      <c r="F214" s="93" t="s">
        <v>66</v>
      </c>
      <c r="G214" s="77">
        <v>1300</v>
      </c>
      <c r="H214" s="77" t="s">
        <v>185</v>
      </c>
      <c r="I214" s="78" t="s">
        <v>41</v>
      </c>
      <c r="J214" s="79">
        <v>181</v>
      </c>
      <c r="K214" s="124">
        <v>1094</v>
      </c>
      <c r="L214" s="125" t="s">
        <v>552</v>
      </c>
      <c r="M214" s="125"/>
      <c r="N214" s="168">
        <f t="shared" si="0"/>
        <v>237445</v>
      </c>
      <c r="O214" s="91">
        <v>41744</v>
      </c>
      <c r="P214" s="69"/>
      <c r="Q214" s="69"/>
      <c r="R214" s="69"/>
      <c r="S214" s="69"/>
      <c r="T214" s="69"/>
      <c r="U214" s="69"/>
      <c r="V214" s="69"/>
      <c r="W214" s="69"/>
    </row>
    <row r="215" spans="1:23" s="72" customFormat="1" ht="72" customHeight="1" x14ac:dyDescent="0.25">
      <c r="A215" s="74"/>
      <c r="B215" s="75" t="s">
        <v>556</v>
      </c>
      <c r="C215" s="75">
        <v>2011</v>
      </c>
      <c r="D215" s="75" t="s">
        <v>46</v>
      </c>
      <c r="E215" s="75">
        <v>2014</v>
      </c>
      <c r="F215" s="93" t="s">
        <v>66</v>
      </c>
      <c r="G215" s="77">
        <v>1300</v>
      </c>
      <c r="H215" s="77" t="s">
        <v>185</v>
      </c>
      <c r="I215" s="78" t="s">
        <v>41</v>
      </c>
      <c r="J215" s="79">
        <v>182</v>
      </c>
      <c r="K215" s="124">
        <v>1095</v>
      </c>
      <c r="L215" s="125" t="s">
        <v>552</v>
      </c>
      <c r="M215" s="125"/>
      <c r="N215" s="168">
        <f t="shared" si="0"/>
        <v>237445</v>
      </c>
      <c r="O215" s="91">
        <v>41744</v>
      </c>
      <c r="P215" s="69"/>
      <c r="Q215" s="69"/>
      <c r="R215" s="69"/>
      <c r="S215" s="69"/>
      <c r="T215" s="69"/>
      <c r="U215" s="69"/>
      <c r="V215" s="69"/>
      <c r="W215" s="69"/>
    </row>
    <row r="216" spans="1:23" s="72" customFormat="1" ht="72" customHeight="1" x14ac:dyDescent="0.25">
      <c r="A216" s="74"/>
      <c r="B216" s="75" t="s">
        <v>557</v>
      </c>
      <c r="C216" s="75">
        <v>2005</v>
      </c>
      <c r="D216" s="75" t="s">
        <v>46</v>
      </c>
      <c r="E216" s="75">
        <v>2014</v>
      </c>
      <c r="F216" s="93" t="s">
        <v>66</v>
      </c>
      <c r="G216" s="77">
        <v>1300</v>
      </c>
      <c r="H216" s="77" t="s">
        <v>185</v>
      </c>
      <c r="I216" s="78" t="s">
        <v>41</v>
      </c>
      <c r="J216" s="79">
        <v>183</v>
      </c>
      <c r="K216" s="124">
        <v>1096</v>
      </c>
      <c r="L216" s="125" t="s">
        <v>552</v>
      </c>
      <c r="M216" s="125"/>
      <c r="N216" s="168">
        <f t="shared" si="0"/>
        <v>237445</v>
      </c>
      <c r="O216" s="91">
        <v>41744</v>
      </c>
      <c r="P216" s="69"/>
      <c r="Q216" s="69"/>
      <c r="R216" s="69"/>
      <c r="S216" s="69"/>
      <c r="T216" s="69"/>
      <c r="U216" s="69"/>
      <c r="V216" s="69"/>
      <c r="W216" s="69"/>
    </row>
    <row r="217" spans="1:23" ht="31.95" customHeight="1" x14ac:dyDescent="0.25">
      <c r="A217" s="74">
        <v>835</v>
      </c>
      <c r="B217" s="75" t="s">
        <v>558</v>
      </c>
      <c r="C217" s="75">
        <v>2009</v>
      </c>
      <c r="D217" s="75" t="s">
        <v>46</v>
      </c>
      <c r="E217" s="75">
        <v>2014</v>
      </c>
      <c r="F217" s="93" t="s">
        <v>63</v>
      </c>
      <c r="G217" s="77">
        <f>N217/L217</f>
        <v>1915.7623870791131</v>
      </c>
      <c r="H217" s="77" t="s">
        <v>1249</v>
      </c>
      <c r="I217" s="78" t="s">
        <v>41</v>
      </c>
      <c r="J217" s="79">
        <v>184</v>
      </c>
      <c r="K217" s="124">
        <v>1097</v>
      </c>
      <c r="L217" s="125" t="s">
        <v>552</v>
      </c>
      <c r="M217" s="125"/>
      <c r="N217" s="168">
        <v>349914</v>
      </c>
      <c r="O217" s="91">
        <v>41744</v>
      </c>
      <c r="P217" s="69"/>
      <c r="Q217" s="69"/>
      <c r="R217" s="69"/>
      <c r="S217" s="69"/>
      <c r="T217" s="69"/>
      <c r="U217" s="69"/>
      <c r="V217" s="69"/>
      <c r="W217" s="69"/>
    </row>
    <row r="218" spans="1:23" ht="31.2" customHeight="1" x14ac:dyDescent="0.25">
      <c r="A218" s="74">
        <v>836</v>
      </c>
      <c r="B218" s="75" t="s">
        <v>559</v>
      </c>
      <c r="C218" s="75">
        <v>2010</v>
      </c>
      <c r="D218" s="75" t="s">
        <v>46</v>
      </c>
      <c r="E218" s="75">
        <v>2014</v>
      </c>
      <c r="F218" s="75" t="s">
        <v>101</v>
      </c>
      <c r="G218" s="77">
        <v>8331</v>
      </c>
      <c r="H218" s="77" t="s">
        <v>560</v>
      </c>
      <c r="I218" s="78" t="s">
        <v>41</v>
      </c>
      <c r="J218" s="79">
        <v>185</v>
      </c>
      <c r="K218" s="124">
        <v>1098</v>
      </c>
      <c r="L218" s="125" t="s">
        <v>552</v>
      </c>
      <c r="M218" s="125"/>
      <c r="N218" s="168">
        <f t="shared" ref="N218:N228" si="1">G218*L218</f>
        <v>1521657.1500000001</v>
      </c>
      <c r="O218" s="91">
        <v>41744</v>
      </c>
      <c r="P218" s="69"/>
      <c r="Q218" s="69"/>
      <c r="R218" s="69"/>
      <c r="S218" s="69"/>
      <c r="T218" s="69"/>
      <c r="U218" s="69"/>
      <c r="V218" s="69"/>
      <c r="W218" s="69"/>
    </row>
    <row r="219" spans="1:23" s="72" customFormat="1" ht="31.2" customHeight="1" x14ac:dyDescent="0.25">
      <c r="A219" s="74">
        <v>837</v>
      </c>
      <c r="B219" s="75" t="s">
        <v>561</v>
      </c>
      <c r="C219" s="75">
        <v>2006</v>
      </c>
      <c r="D219" s="75" t="s">
        <v>46</v>
      </c>
      <c r="E219" s="75">
        <v>2014</v>
      </c>
      <c r="F219" s="120" t="s">
        <v>257</v>
      </c>
      <c r="G219" s="77">
        <v>8214.7000000000007</v>
      </c>
      <c r="H219" s="77" t="s">
        <v>521</v>
      </c>
      <c r="I219" s="78" t="s">
        <v>41</v>
      </c>
      <c r="J219" s="79">
        <v>186</v>
      </c>
      <c r="K219" s="124">
        <v>1099</v>
      </c>
      <c r="L219" s="125" t="s">
        <v>552</v>
      </c>
      <c r="M219" s="125"/>
      <c r="N219" s="168">
        <f t="shared" si="1"/>
        <v>1500414.9550000001</v>
      </c>
      <c r="O219" s="91">
        <v>41744</v>
      </c>
      <c r="P219" s="69"/>
      <c r="Q219" s="69"/>
      <c r="R219" s="69"/>
      <c r="S219" s="69"/>
      <c r="T219" s="69"/>
      <c r="U219" s="69"/>
      <c r="V219" s="69"/>
      <c r="W219" s="69"/>
    </row>
    <row r="220" spans="1:23" s="72" customFormat="1" ht="30.6" customHeight="1" x14ac:dyDescent="0.25">
      <c r="A220" s="74">
        <v>838</v>
      </c>
      <c r="B220" s="75" t="s">
        <v>562</v>
      </c>
      <c r="C220" s="75">
        <v>2010</v>
      </c>
      <c r="D220" s="75" t="s">
        <v>46</v>
      </c>
      <c r="E220" s="75">
        <v>2014</v>
      </c>
      <c r="F220" s="120" t="s">
        <v>257</v>
      </c>
      <c r="G220" s="77">
        <v>8272</v>
      </c>
      <c r="H220" s="77" t="s">
        <v>563</v>
      </c>
      <c r="I220" s="78" t="s">
        <v>41</v>
      </c>
      <c r="J220" s="79">
        <v>187</v>
      </c>
      <c r="K220" s="124">
        <v>1100</v>
      </c>
      <c r="L220" s="125" t="s">
        <v>552</v>
      </c>
      <c r="M220" s="125"/>
      <c r="N220" s="168">
        <f t="shared" si="1"/>
        <v>1510880.8</v>
      </c>
      <c r="O220" s="91">
        <v>41744</v>
      </c>
      <c r="P220" s="69"/>
      <c r="Q220" s="69"/>
      <c r="R220" s="69"/>
      <c r="S220" s="69"/>
      <c r="T220" s="69"/>
      <c r="U220" s="69"/>
      <c r="V220" s="69"/>
      <c r="W220" s="69"/>
    </row>
    <row r="221" spans="1:23" ht="30.75" customHeight="1" x14ac:dyDescent="0.25">
      <c r="A221" s="74">
        <v>839</v>
      </c>
      <c r="B221" s="75" t="s">
        <v>564</v>
      </c>
      <c r="C221" s="75"/>
      <c r="D221" s="75" t="s">
        <v>568</v>
      </c>
      <c r="E221" s="75">
        <v>2014</v>
      </c>
      <c r="F221" s="75" t="s">
        <v>240</v>
      </c>
      <c r="G221" s="77">
        <v>400</v>
      </c>
      <c r="H221" s="77" t="s">
        <v>565</v>
      </c>
      <c r="I221" s="78" t="s">
        <v>48</v>
      </c>
      <c r="J221" s="79">
        <v>188</v>
      </c>
      <c r="K221" s="124">
        <v>1101</v>
      </c>
      <c r="L221" s="125" t="s">
        <v>552</v>
      </c>
      <c r="M221" s="125"/>
      <c r="N221" s="168">
        <f t="shared" si="1"/>
        <v>73060</v>
      </c>
      <c r="O221" s="91">
        <v>41744</v>
      </c>
      <c r="P221" s="69"/>
      <c r="Q221" s="69"/>
      <c r="R221" s="69"/>
      <c r="S221" s="69"/>
      <c r="T221" s="69"/>
      <c r="U221" s="69"/>
      <c r="V221" s="69"/>
      <c r="W221" s="69"/>
    </row>
    <row r="222" spans="1:23" ht="90" customHeight="1" x14ac:dyDescent="0.25">
      <c r="A222" s="74"/>
      <c r="B222" s="75" t="s">
        <v>122</v>
      </c>
      <c r="C222" s="75">
        <v>2011</v>
      </c>
      <c r="D222" s="129" t="s">
        <v>123</v>
      </c>
      <c r="E222" s="75" t="s">
        <v>473</v>
      </c>
      <c r="F222" s="120" t="s">
        <v>423</v>
      </c>
      <c r="G222" s="77">
        <v>9000</v>
      </c>
      <c r="H222" s="77" t="s">
        <v>566</v>
      </c>
      <c r="I222" s="78" t="s">
        <v>429</v>
      </c>
      <c r="J222" s="79">
        <v>189</v>
      </c>
      <c r="K222" s="124">
        <v>1102</v>
      </c>
      <c r="L222" s="125" t="s">
        <v>552</v>
      </c>
      <c r="M222" s="125"/>
      <c r="N222" s="168">
        <f t="shared" si="1"/>
        <v>1643850</v>
      </c>
      <c r="O222" s="91">
        <v>41744</v>
      </c>
      <c r="P222" s="69"/>
      <c r="Q222" s="69"/>
      <c r="R222" s="69"/>
      <c r="S222" s="69"/>
      <c r="T222" s="69"/>
      <c r="U222" s="69"/>
      <c r="V222" s="69"/>
      <c r="W222" s="69"/>
    </row>
    <row r="223" spans="1:23" ht="42" customHeight="1" x14ac:dyDescent="0.25">
      <c r="A223" s="74"/>
      <c r="B223" s="75" t="s">
        <v>15</v>
      </c>
      <c r="C223" s="75">
        <v>2010</v>
      </c>
      <c r="D223" s="75" t="s">
        <v>320</v>
      </c>
      <c r="E223" s="75" t="s">
        <v>466</v>
      </c>
      <c r="F223" s="75" t="s">
        <v>240</v>
      </c>
      <c r="G223" s="77">
        <v>9800</v>
      </c>
      <c r="H223" s="77" t="s">
        <v>567</v>
      </c>
      <c r="I223" s="78" t="s">
        <v>48</v>
      </c>
      <c r="J223" s="79">
        <v>190</v>
      </c>
      <c r="K223" s="124">
        <v>1103</v>
      </c>
      <c r="L223" s="125" t="s">
        <v>552</v>
      </c>
      <c r="M223" s="125"/>
      <c r="N223" s="168">
        <f t="shared" si="1"/>
        <v>1789970</v>
      </c>
      <c r="O223" s="91">
        <v>41744</v>
      </c>
      <c r="P223" s="69"/>
      <c r="Q223" s="69"/>
      <c r="R223" s="69"/>
      <c r="S223" s="69"/>
      <c r="T223" s="69"/>
      <c r="U223" s="69"/>
      <c r="V223" s="69"/>
      <c r="W223" s="69"/>
    </row>
    <row r="224" spans="1:23" ht="31.2" customHeight="1" x14ac:dyDescent="0.25">
      <c r="A224" s="74"/>
      <c r="B224" s="75" t="s">
        <v>474</v>
      </c>
      <c r="C224" s="75">
        <v>2000</v>
      </c>
      <c r="D224" s="85" t="s">
        <v>475</v>
      </c>
      <c r="E224" s="75" t="s">
        <v>524</v>
      </c>
      <c r="F224" s="75" t="s">
        <v>240</v>
      </c>
      <c r="G224" s="77">
        <v>7680</v>
      </c>
      <c r="H224" s="77" t="s">
        <v>1234</v>
      </c>
      <c r="I224" s="78" t="s">
        <v>429</v>
      </c>
      <c r="J224" s="79">
        <v>191</v>
      </c>
      <c r="K224" s="124">
        <v>1104</v>
      </c>
      <c r="L224" s="125" t="s">
        <v>552</v>
      </c>
      <c r="M224" s="125"/>
      <c r="N224" s="168">
        <f t="shared" si="1"/>
        <v>1402752</v>
      </c>
      <c r="O224" s="91">
        <v>41744</v>
      </c>
      <c r="P224" s="69"/>
      <c r="Q224" s="69"/>
      <c r="R224" s="69"/>
      <c r="S224" s="69"/>
      <c r="T224" s="69"/>
      <c r="U224" s="69"/>
      <c r="V224" s="69"/>
      <c r="W224" s="69"/>
    </row>
    <row r="225" spans="1:23" ht="30.6" customHeight="1" x14ac:dyDescent="0.25">
      <c r="A225" s="74">
        <v>840</v>
      </c>
      <c r="B225" s="75" t="s">
        <v>569</v>
      </c>
      <c r="C225" s="75">
        <v>2011</v>
      </c>
      <c r="D225" s="75" t="s">
        <v>46</v>
      </c>
      <c r="E225" s="75">
        <v>2014</v>
      </c>
      <c r="F225" s="75" t="s">
        <v>242</v>
      </c>
      <c r="G225" s="77">
        <v>9684</v>
      </c>
      <c r="H225" s="77" t="s">
        <v>570</v>
      </c>
      <c r="I225" s="78" t="s">
        <v>41</v>
      </c>
      <c r="J225" s="79">
        <v>192</v>
      </c>
      <c r="K225" s="124">
        <v>1105</v>
      </c>
      <c r="L225" s="125" t="s">
        <v>552</v>
      </c>
      <c r="M225" s="125"/>
      <c r="N225" s="168">
        <f t="shared" si="1"/>
        <v>1768782.6</v>
      </c>
      <c r="O225" s="91">
        <v>41744</v>
      </c>
      <c r="P225" s="69"/>
      <c r="Q225" s="69"/>
      <c r="R225" s="69"/>
      <c r="S225" s="69"/>
      <c r="T225" s="69"/>
      <c r="U225" s="69"/>
      <c r="V225" s="69"/>
      <c r="W225" s="69"/>
    </row>
    <row r="226" spans="1:23" ht="30.75" customHeight="1" x14ac:dyDescent="0.25">
      <c r="A226" s="74">
        <v>841</v>
      </c>
      <c r="B226" s="75" t="s">
        <v>571</v>
      </c>
      <c r="C226" s="75">
        <v>2011</v>
      </c>
      <c r="D226" s="75" t="s">
        <v>46</v>
      </c>
      <c r="E226" s="75">
        <v>2014</v>
      </c>
      <c r="F226" s="75" t="s">
        <v>242</v>
      </c>
      <c r="G226" s="77">
        <v>8208</v>
      </c>
      <c r="H226" s="77" t="s">
        <v>572</v>
      </c>
      <c r="I226" s="78" t="s">
        <v>41</v>
      </c>
      <c r="J226" s="79">
        <v>193</v>
      </c>
      <c r="K226" s="124">
        <v>1106</v>
      </c>
      <c r="L226" s="125" t="s">
        <v>552</v>
      </c>
      <c r="M226" s="125"/>
      <c r="N226" s="168">
        <f t="shared" si="1"/>
        <v>1499191.2</v>
      </c>
      <c r="O226" s="91">
        <v>41744</v>
      </c>
      <c r="P226" s="69"/>
      <c r="Q226" s="69"/>
      <c r="R226" s="69"/>
      <c r="S226" s="69"/>
      <c r="T226" s="69"/>
      <c r="U226" s="69"/>
      <c r="V226" s="69"/>
      <c r="W226" s="69"/>
    </row>
    <row r="227" spans="1:23" s="72" customFormat="1" ht="30" customHeight="1" x14ac:dyDescent="0.25">
      <c r="A227" s="74">
        <v>842</v>
      </c>
      <c r="B227" s="75" t="s">
        <v>573</v>
      </c>
      <c r="C227" s="75">
        <v>2007</v>
      </c>
      <c r="D227" s="75" t="s">
        <v>46</v>
      </c>
      <c r="E227" s="75">
        <v>2014</v>
      </c>
      <c r="F227" s="120" t="s">
        <v>257</v>
      </c>
      <c r="G227" s="77">
        <v>8272</v>
      </c>
      <c r="H227" s="77" t="s">
        <v>574</v>
      </c>
      <c r="I227" s="78" t="s">
        <v>41</v>
      </c>
      <c r="J227" s="79">
        <v>194</v>
      </c>
      <c r="K227" s="124">
        <v>1107</v>
      </c>
      <c r="L227" s="125" t="s">
        <v>552</v>
      </c>
      <c r="M227" s="125"/>
      <c r="N227" s="168">
        <f t="shared" si="1"/>
        <v>1510880.8</v>
      </c>
      <c r="O227" s="91">
        <v>41744</v>
      </c>
      <c r="P227" s="69"/>
      <c r="Q227" s="69"/>
      <c r="R227" s="69"/>
      <c r="S227" s="69"/>
      <c r="T227" s="69"/>
      <c r="U227" s="69"/>
      <c r="V227" s="69"/>
      <c r="W227" s="69"/>
    </row>
    <row r="228" spans="1:23" s="72" customFormat="1" ht="27.75" customHeight="1" x14ac:dyDescent="0.25">
      <c r="A228" s="74">
        <v>843</v>
      </c>
      <c r="B228" s="75" t="s">
        <v>575</v>
      </c>
      <c r="C228" s="75">
        <v>2005</v>
      </c>
      <c r="D228" s="75" t="s">
        <v>46</v>
      </c>
      <c r="E228" s="75">
        <v>2014</v>
      </c>
      <c r="F228" s="120" t="s">
        <v>257</v>
      </c>
      <c r="G228" s="77">
        <v>8705</v>
      </c>
      <c r="H228" s="77" t="s">
        <v>576</v>
      </c>
      <c r="I228" s="78" t="s">
        <v>41</v>
      </c>
      <c r="J228" s="79">
        <v>195</v>
      </c>
      <c r="K228" s="124">
        <v>1108</v>
      </c>
      <c r="L228" s="125" t="s">
        <v>552</v>
      </c>
      <c r="M228" s="125"/>
      <c r="N228" s="168">
        <f t="shared" si="1"/>
        <v>1589968.25</v>
      </c>
      <c r="O228" s="91">
        <v>41744</v>
      </c>
      <c r="P228" s="69"/>
      <c r="Q228" s="69"/>
      <c r="R228" s="69"/>
      <c r="S228" s="69"/>
      <c r="T228" s="69"/>
      <c r="U228" s="69"/>
      <c r="V228" s="69"/>
      <c r="W228" s="69"/>
    </row>
    <row r="229" spans="1:23" ht="33" customHeight="1" x14ac:dyDescent="0.25">
      <c r="A229" s="74">
        <v>844</v>
      </c>
      <c r="B229" s="75" t="s">
        <v>577</v>
      </c>
      <c r="C229" s="75">
        <v>2011</v>
      </c>
      <c r="D229" s="75" t="s">
        <v>46</v>
      </c>
      <c r="E229" s="75">
        <v>2014</v>
      </c>
      <c r="F229" s="75" t="s">
        <v>203</v>
      </c>
      <c r="G229" s="77">
        <v>8338</v>
      </c>
      <c r="H229" s="77" t="s">
        <v>578</v>
      </c>
      <c r="I229" s="78" t="s">
        <v>41</v>
      </c>
      <c r="J229" s="79">
        <v>196</v>
      </c>
      <c r="K229" s="124">
        <v>1109</v>
      </c>
      <c r="L229" s="125" t="s">
        <v>552</v>
      </c>
      <c r="M229" s="125"/>
      <c r="N229" s="168">
        <f>G229*L230</f>
        <v>1522935.7</v>
      </c>
      <c r="O229" s="91">
        <v>41744</v>
      </c>
      <c r="P229" s="69"/>
      <c r="Q229" s="69"/>
      <c r="R229" s="69"/>
      <c r="S229" s="69"/>
      <c r="T229" s="69"/>
      <c r="U229" s="69"/>
      <c r="V229" s="69"/>
      <c r="W229" s="69"/>
    </row>
    <row r="230" spans="1:23" s="72" customFormat="1" ht="55.2" customHeight="1" x14ac:dyDescent="0.25">
      <c r="A230" s="74">
        <v>845</v>
      </c>
      <c r="B230" s="75" t="s">
        <v>579</v>
      </c>
      <c r="C230" s="75">
        <v>2006</v>
      </c>
      <c r="D230" s="75" t="s">
        <v>46</v>
      </c>
      <c r="E230" s="75">
        <v>2014</v>
      </c>
      <c r="F230" s="75" t="s">
        <v>293</v>
      </c>
      <c r="G230" s="77">
        <f>3894*M230/L230</f>
        <v>5418.128442376129</v>
      </c>
      <c r="H230" s="77" t="s">
        <v>247</v>
      </c>
      <c r="I230" s="78" t="s">
        <v>41</v>
      </c>
      <c r="J230" s="79">
        <v>197</v>
      </c>
      <c r="K230" s="124">
        <v>1110</v>
      </c>
      <c r="L230" s="125" t="s">
        <v>552</v>
      </c>
      <c r="M230" s="125" t="s">
        <v>585</v>
      </c>
      <c r="N230" s="168">
        <f>3894*M230</f>
        <v>989621.15999999992</v>
      </c>
      <c r="O230" s="91">
        <v>41744</v>
      </c>
      <c r="P230" s="69"/>
      <c r="Q230" s="69"/>
      <c r="R230" s="69"/>
      <c r="S230" s="69"/>
      <c r="T230" s="69"/>
      <c r="U230" s="69"/>
      <c r="V230" s="69"/>
      <c r="W230" s="69"/>
    </row>
    <row r="231" spans="1:23" s="9" customFormat="1" ht="67.2" customHeight="1" x14ac:dyDescent="0.25">
      <c r="A231" s="74"/>
      <c r="B231" s="75" t="s">
        <v>133</v>
      </c>
      <c r="C231" s="75">
        <v>2009</v>
      </c>
      <c r="D231" s="94" t="s">
        <v>104</v>
      </c>
      <c r="E231" s="75" t="s">
        <v>466</v>
      </c>
      <c r="F231" s="120" t="s">
        <v>423</v>
      </c>
      <c r="G231" s="77">
        <v>5300</v>
      </c>
      <c r="H231" s="77" t="s">
        <v>580</v>
      </c>
      <c r="I231" s="78" t="s">
        <v>1187</v>
      </c>
      <c r="J231" s="79">
        <v>198</v>
      </c>
      <c r="K231" s="124">
        <v>1111</v>
      </c>
      <c r="L231" s="125" t="s">
        <v>552</v>
      </c>
      <c r="M231" s="125"/>
      <c r="N231" s="168">
        <f>G231*L231</f>
        <v>968045</v>
      </c>
      <c r="O231" s="91">
        <v>41744</v>
      </c>
      <c r="P231" s="69"/>
      <c r="Q231" s="69"/>
      <c r="R231" s="69"/>
      <c r="S231" s="69"/>
      <c r="T231" s="69"/>
      <c r="U231" s="69"/>
      <c r="V231" s="69"/>
      <c r="W231" s="69"/>
    </row>
    <row r="232" spans="1:23" s="72" customFormat="1" ht="31.5" customHeight="1" x14ac:dyDescent="0.25">
      <c r="A232" s="74"/>
      <c r="B232" s="75" t="s">
        <v>166</v>
      </c>
      <c r="C232" s="75">
        <v>2000</v>
      </c>
      <c r="D232" s="127" t="s">
        <v>44</v>
      </c>
      <c r="E232" s="75" t="s">
        <v>466</v>
      </c>
      <c r="F232" s="120" t="s">
        <v>423</v>
      </c>
      <c r="G232" s="77">
        <v>5000</v>
      </c>
      <c r="H232" s="77" t="s">
        <v>581</v>
      </c>
      <c r="I232" s="78" t="s">
        <v>429</v>
      </c>
      <c r="J232" s="79">
        <v>199</v>
      </c>
      <c r="K232" s="124">
        <v>1112</v>
      </c>
      <c r="L232" s="125" t="s">
        <v>552</v>
      </c>
      <c r="M232" s="125"/>
      <c r="N232" s="168">
        <f>G232*L232</f>
        <v>913250</v>
      </c>
      <c r="O232" s="91">
        <v>41744</v>
      </c>
      <c r="P232" s="69"/>
      <c r="Q232" s="69"/>
      <c r="R232" s="69"/>
      <c r="S232" s="69"/>
      <c r="T232" s="69"/>
      <c r="U232" s="69"/>
      <c r="V232" s="69"/>
      <c r="W232" s="69"/>
    </row>
    <row r="233" spans="1:23" ht="31.5" customHeight="1" x14ac:dyDescent="0.25">
      <c r="A233" s="74">
        <v>846</v>
      </c>
      <c r="B233" s="75" t="s">
        <v>582</v>
      </c>
      <c r="C233" s="75">
        <v>2010</v>
      </c>
      <c r="D233" s="75" t="s">
        <v>46</v>
      </c>
      <c r="E233" s="75">
        <v>2014</v>
      </c>
      <c r="F233" s="75" t="s">
        <v>242</v>
      </c>
      <c r="G233" s="77">
        <v>8806.2000000000007</v>
      </c>
      <c r="H233" s="77" t="s">
        <v>1213</v>
      </c>
      <c r="I233" s="78" t="s">
        <v>41</v>
      </c>
      <c r="J233" s="79">
        <v>200</v>
      </c>
      <c r="K233" s="124">
        <v>1113</v>
      </c>
      <c r="L233" s="125" t="s">
        <v>552</v>
      </c>
      <c r="M233" s="125"/>
      <c r="N233" s="168">
        <f>G233*L234</f>
        <v>1608452.4300000002</v>
      </c>
      <c r="O233" s="91">
        <v>41744</v>
      </c>
      <c r="P233" s="69"/>
      <c r="Q233" s="69"/>
      <c r="R233" s="69"/>
      <c r="S233" s="69"/>
      <c r="T233" s="69"/>
      <c r="U233" s="69"/>
      <c r="V233" s="69"/>
      <c r="W233" s="69"/>
    </row>
    <row r="234" spans="1:23" ht="30" customHeight="1" x14ac:dyDescent="0.25">
      <c r="A234" s="74">
        <v>847</v>
      </c>
      <c r="B234" s="75" t="s">
        <v>583</v>
      </c>
      <c r="C234" s="75">
        <v>2010</v>
      </c>
      <c r="D234" s="75" t="s">
        <v>46</v>
      </c>
      <c r="E234" s="75">
        <v>2014</v>
      </c>
      <c r="F234" s="75" t="s">
        <v>242</v>
      </c>
      <c r="G234" s="77">
        <v>5801.4</v>
      </c>
      <c r="H234" s="77" t="s">
        <v>1208</v>
      </c>
      <c r="I234" s="78" t="s">
        <v>41</v>
      </c>
      <c r="J234" s="79">
        <v>201</v>
      </c>
      <c r="K234" s="124">
        <v>1114</v>
      </c>
      <c r="L234" s="125" t="s">
        <v>552</v>
      </c>
      <c r="M234" s="125"/>
      <c r="N234" s="168">
        <f>G234*L234</f>
        <v>1059625.71</v>
      </c>
      <c r="O234" s="91">
        <v>41744</v>
      </c>
      <c r="P234" s="69"/>
      <c r="Q234" s="69"/>
      <c r="R234" s="69"/>
      <c r="S234" s="69"/>
      <c r="T234" s="69"/>
      <c r="U234" s="69"/>
      <c r="V234" s="69"/>
      <c r="W234" s="69"/>
    </row>
    <row r="235" spans="1:23" s="72" customFormat="1" ht="54.75" customHeight="1" x14ac:dyDescent="0.25">
      <c r="A235" s="74"/>
      <c r="B235" s="75" t="s">
        <v>211</v>
      </c>
      <c r="C235" s="75">
        <v>2011</v>
      </c>
      <c r="D235" s="75" t="s">
        <v>46</v>
      </c>
      <c r="E235" s="75" t="s">
        <v>466</v>
      </c>
      <c r="F235" s="75" t="s">
        <v>293</v>
      </c>
      <c r="G235" s="77">
        <f>312*M235/L235</f>
        <v>434.11814946619211</v>
      </c>
      <c r="H235" s="77" t="s">
        <v>584</v>
      </c>
      <c r="I235" s="78" t="s">
        <v>41</v>
      </c>
      <c r="J235" s="79">
        <v>202</v>
      </c>
      <c r="K235" s="124">
        <v>1115</v>
      </c>
      <c r="L235" s="125" t="s">
        <v>552</v>
      </c>
      <c r="M235" s="125" t="s">
        <v>585</v>
      </c>
      <c r="N235" s="168">
        <f>312*M235</f>
        <v>79291.679999999993</v>
      </c>
      <c r="O235" s="91">
        <v>41744</v>
      </c>
      <c r="P235" s="69"/>
      <c r="Q235" s="69"/>
      <c r="R235" s="69"/>
      <c r="S235" s="69"/>
      <c r="T235" s="69"/>
      <c r="U235" s="69"/>
      <c r="V235" s="69"/>
      <c r="W235" s="69"/>
    </row>
    <row r="236" spans="1:23" ht="84" customHeight="1" x14ac:dyDescent="0.25">
      <c r="A236" s="74"/>
      <c r="B236" s="75" t="s">
        <v>122</v>
      </c>
      <c r="C236" s="75">
        <v>2011</v>
      </c>
      <c r="D236" s="129" t="s">
        <v>123</v>
      </c>
      <c r="E236" s="75" t="s">
        <v>524</v>
      </c>
      <c r="F236" s="120" t="s">
        <v>423</v>
      </c>
      <c r="G236" s="77">
        <v>9000</v>
      </c>
      <c r="H236" s="77" t="s">
        <v>566</v>
      </c>
      <c r="I236" s="78" t="s">
        <v>429</v>
      </c>
      <c r="J236" s="79">
        <v>203</v>
      </c>
      <c r="K236" s="124">
        <v>1116</v>
      </c>
      <c r="L236" s="125" t="s">
        <v>537</v>
      </c>
      <c r="M236" s="125"/>
      <c r="N236" s="168">
        <f>G236*L236</f>
        <v>1638630</v>
      </c>
      <c r="O236" s="91">
        <v>41745</v>
      </c>
      <c r="P236" s="69"/>
      <c r="Q236" s="69"/>
      <c r="R236" s="69"/>
      <c r="S236" s="69"/>
      <c r="T236" s="69"/>
      <c r="U236" s="69"/>
      <c r="V236" s="69"/>
      <c r="W236" s="69"/>
    </row>
    <row r="237" spans="1:23" ht="25.2" customHeight="1" x14ac:dyDescent="0.25">
      <c r="A237" s="220"/>
      <c r="B237" s="191" t="s">
        <v>15</v>
      </c>
      <c r="C237" s="191">
        <v>2010</v>
      </c>
      <c r="D237" s="191" t="s">
        <v>320</v>
      </c>
      <c r="E237" s="191" t="s">
        <v>586</v>
      </c>
      <c r="F237" s="191" t="s">
        <v>240</v>
      </c>
      <c r="G237" s="77">
        <v>9200</v>
      </c>
      <c r="H237" s="77" t="s">
        <v>587</v>
      </c>
      <c r="I237" s="231" t="s">
        <v>48</v>
      </c>
      <c r="J237" s="199">
        <v>204</v>
      </c>
      <c r="K237" s="187">
        <v>1117</v>
      </c>
      <c r="L237" s="125" t="s">
        <v>537</v>
      </c>
      <c r="M237" s="125"/>
      <c r="N237" s="168">
        <f>G237*L237</f>
        <v>1675044</v>
      </c>
      <c r="O237" s="91">
        <v>41745</v>
      </c>
      <c r="P237" s="69"/>
      <c r="Q237" s="69"/>
      <c r="R237" s="69"/>
      <c r="S237" s="69"/>
      <c r="T237" s="69"/>
      <c r="U237" s="69"/>
      <c r="V237" s="69"/>
      <c r="W237" s="69"/>
    </row>
    <row r="238" spans="1:23" ht="30.75" customHeight="1" x14ac:dyDescent="0.25">
      <c r="A238" s="221"/>
      <c r="B238" s="193"/>
      <c r="C238" s="193"/>
      <c r="D238" s="226"/>
      <c r="E238" s="193"/>
      <c r="F238" s="233"/>
      <c r="G238" s="77">
        <v>30570.75</v>
      </c>
      <c r="H238" s="77" t="s">
        <v>1320</v>
      </c>
      <c r="I238" s="245"/>
      <c r="J238" s="201"/>
      <c r="K238" s="189"/>
      <c r="L238" s="125" t="s">
        <v>537</v>
      </c>
      <c r="M238" s="125"/>
      <c r="N238" s="168">
        <f>G238*L238</f>
        <v>5566016.4524999997</v>
      </c>
      <c r="O238" s="91">
        <v>41746</v>
      </c>
      <c r="P238" s="69"/>
      <c r="Q238" s="69"/>
      <c r="R238" s="69"/>
      <c r="S238" s="69"/>
      <c r="T238" s="69"/>
      <c r="U238" s="69"/>
      <c r="V238" s="69"/>
      <c r="W238" s="69"/>
    </row>
    <row r="239" spans="1:23" ht="34.200000000000003" customHeight="1" x14ac:dyDescent="0.25">
      <c r="A239" s="74">
        <v>848</v>
      </c>
      <c r="B239" s="75" t="s">
        <v>588</v>
      </c>
      <c r="C239" s="75">
        <v>2011</v>
      </c>
      <c r="D239" s="75" t="s">
        <v>46</v>
      </c>
      <c r="E239" s="75">
        <v>2014</v>
      </c>
      <c r="F239" s="93" t="s">
        <v>63</v>
      </c>
      <c r="G239" s="77">
        <f>N239/L239</f>
        <v>1921.5184310278526</v>
      </c>
      <c r="H239" s="77" t="s">
        <v>1250</v>
      </c>
      <c r="I239" s="78" t="s">
        <v>41</v>
      </c>
      <c r="J239" s="79">
        <v>205</v>
      </c>
      <c r="K239" s="124">
        <v>1118</v>
      </c>
      <c r="L239" s="125" t="s">
        <v>498</v>
      </c>
      <c r="M239" s="125"/>
      <c r="N239" s="168">
        <v>349774</v>
      </c>
      <c r="O239" s="91">
        <v>41746</v>
      </c>
      <c r="P239" s="69"/>
      <c r="Q239" s="69"/>
      <c r="R239" s="69"/>
      <c r="S239" s="69"/>
      <c r="T239" s="69"/>
      <c r="U239" s="69"/>
      <c r="V239" s="69"/>
      <c r="W239" s="69"/>
    </row>
    <row r="240" spans="1:23" ht="34.200000000000003" customHeight="1" x14ac:dyDescent="0.25">
      <c r="A240" s="74">
        <v>849</v>
      </c>
      <c r="B240" s="75" t="s">
        <v>589</v>
      </c>
      <c r="C240" s="75">
        <v>2005</v>
      </c>
      <c r="D240" s="75" t="s">
        <v>46</v>
      </c>
      <c r="E240" s="75">
        <v>2014</v>
      </c>
      <c r="F240" s="93" t="s">
        <v>63</v>
      </c>
      <c r="G240" s="77">
        <f>94918/L240</f>
        <v>521.44152062846786</v>
      </c>
      <c r="H240" s="77" t="s">
        <v>590</v>
      </c>
      <c r="I240" s="78" t="s">
        <v>41</v>
      </c>
      <c r="J240" s="79">
        <v>206</v>
      </c>
      <c r="K240" s="124">
        <v>1119</v>
      </c>
      <c r="L240" s="125" t="s">
        <v>498</v>
      </c>
      <c r="M240" s="125"/>
      <c r="N240" s="168">
        <v>94918</v>
      </c>
      <c r="O240" s="91">
        <v>41746</v>
      </c>
      <c r="P240" s="69"/>
      <c r="Q240" s="69"/>
      <c r="R240" s="69"/>
      <c r="S240" s="69"/>
      <c r="T240" s="69"/>
      <c r="U240" s="69"/>
      <c r="V240" s="69"/>
      <c r="W240" s="69"/>
    </row>
    <row r="241" spans="1:23" ht="42" customHeight="1" x14ac:dyDescent="0.25">
      <c r="A241" s="74">
        <v>850</v>
      </c>
      <c r="B241" s="75" t="s">
        <v>591</v>
      </c>
      <c r="C241" s="75">
        <v>2011</v>
      </c>
      <c r="D241" s="75" t="s">
        <v>46</v>
      </c>
      <c r="E241" s="75">
        <v>2014</v>
      </c>
      <c r="F241" s="75" t="s">
        <v>322</v>
      </c>
      <c r="G241" s="77">
        <f>N241/L241</f>
        <v>1972.4221282206229</v>
      </c>
      <c r="H241" s="77" t="s">
        <v>1258</v>
      </c>
      <c r="I241" s="78" t="s">
        <v>41</v>
      </c>
      <c r="J241" s="79">
        <v>207</v>
      </c>
      <c r="K241" s="124">
        <v>1120</v>
      </c>
      <c r="L241" s="125" t="s">
        <v>498</v>
      </c>
      <c r="M241" s="125" t="s">
        <v>592</v>
      </c>
      <c r="N241" s="168">
        <f>70400*M241</f>
        <v>359040</v>
      </c>
      <c r="O241" s="91">
        <v>41746</v>
      </c>
      <c r="P241" s="69"/>
      <c r="Q241" s="69"/>
      <c r="R241" s="69"/>
      <c r="S241" s="69"/>
      <c r="T241" s="69"/>
      <c r="U241" s="69"/>
      <c r="V241" s="69"/>
      <c r="W241" s="69"/>
    </row>
    <row r="242" spans="1:23" ht="42" customHeight="1" x14ac:dyDescent="0.25">
      <c r="A242" s="74">
        <v>851</v>
      </c>
      <c r="B242" s="75" t="s">
        <v>593</v>
      </c>
      <c r="C242" s="75">
        <v>2004</v>
      </c>
      <c r="D242" s="75" t="s">
        <v>46</v>
      </c>
      <c r="E242" s="75">
        <v>2014</v>
      </c>
      <c r="F242" s="85" t="s">
        <v>1337</v>
      </c>
      <c r="G242" s="77">
        <f>52502*M242/L242</f>
        <v>1470.9674229522604</v>
      </c>
      <c r="H242" s="77" t="s">
        <v>594</v>
      </c>
      <c r="I242" s="78" t="s">
        <v>41</v>
      </c>
      <c r="J242" s="79">
        <v>208</v>
      </c>
      <c r="K242" s="124">
        <v>1121</v>
      </c>
      <c r="L242" s="125" t="s">
        <v>498</v>
      </c>
      <c r="M242" s="125" t="s">
        <v>592</v>
      </c>
      <c r="N242" s="168">
        <f>52502*M242</f>
        <v>267760.19999999995</v>
      </c>
      <c r="O242" s="91">
        <v>41746</v>
      </c>
      <c r="P242" s="69"/>
      <c r="Q242" s="69"/>
      <c r="R242" s="69"/>
      <c r="S242" s="69"/>
      <c r="T242" s="69"/>
      <c r="U242" s="69"/>
      <c r="V242" s="69"/>
      <c r="W242" s="69"/>
    </row>
    <row r="243" spans="1:23" ht="42" customHeight="1" x14ac:dyDescent="0.25">
      <c r="A243" s="74"/>
      <c r="B243" s="75" t="s">
        <v>135</v>
      </c>
      <c r="C243" s="75">
        <v>2012</v>
      </c>
      <c r="D243" s="75" t="s">
        <v>46</v>
      </c>
      <c r="E243" s="75" t="s">
        <v>524</v>
      </c>
      <c r="F243" s="129" t="s">
        <v>47</v>
      </c>
      <c r="G243" s="77">
        <f>107030*M243/L243</f>
        <v>2998.698016810416</v>
      </c>
      <c r="H243" s="77" t="s">
        <v>595</v>
      </c>
      <c r="I243" s="78" t="s">
        <v>41</v>
      </c>
      <c r="J243" s="79">
        <v>209</v>
      </c>
      <c r="K243" s="124">
        <v>1122</v>
      </c>
      <c r="L243" s="125" t="s">
        <v>498</v>
      </c>
      <c r="M243" s="125" t="s">
        <v>592</v>
      </c>
      <c r="N243" s="168">
        <f>107030*M243</f>
        <v>545853</v>
      </c>
      <c r="O243" s="91">
        <v>41746</v>
      </c>
      <c r="P243" s="69"/>
      <c r="Q243" s="69"/>
      <c r="R243" s="69"/>
      <c r="S243" s="69"/>
      <c r="T243" s="69"/>
      <c r="U243" s="69"/>
      <c r="V243" s="69"/>
      <c r="W243" s="69"/>
    </row>
    <row r="244" spans="1:23" s="72" customFormat="1" ht="54.75" customHeight="1" x14ac:dyDescent="0.25">
      <c r="A244" s="74"/>
      <c r="B244" s="75" t="s">
        <v>32</v>
      </c>
      <c r="C244" s="75">
        <v>2009</v>
      </c>
      <c r="D244" s="93" t="s">
        <v>33</v>
      </c>
      <c r="E244" s="75" t="s">
        <v>473</v>
      </c>
      <c r="F244" s="75" t="s">
        <v>346</v>
      </c>
      <c r="G244" s="77">
        <f>58340*M244/L244</f>
        <v>1624.650115346589</v>
      </c>
      <c r="H244" s="77" t="s">
        <v>597</v>
      </c>
      <c r="I244" s="78" t="s">
        <v>429</v>
      </c>
      <c r="J244" s="79">
        <v>210</v>
      </c>
      <c r="K244" s="124">
        <v>1123</v>
      </c>
      <c r="L244" s="125" t="s">
        <v>448</v>
      </c>
      <c r="M244" s="125" t="s">
        <v>598</v>
      </c>
      <c r="N244" s="168">
        <f>58340*M244</f>
        <v>295783.8</v>
      </c>
      <c r="O244" s="91">
        <v>41747</v>
      </c>
      <c r="P244" s="69"/>
      <c r="Q244" s="69"/>
      <c r="R244" s="69"/>
      <c r="S244" s="69"/>
      <c r="T244" s="69"/>
      <c r="U244" s="69"/>
      <c r="V244" s="69"/>
      <c r="W244" s="69"/>
    </row>
    <row r="245" spans="1:23" s="72" customFormat="1" ht="88.2" customHeight="1" x14ac:dyDescent="0.25">
      <c r="A245" s="74"/>
      <c r="B245" s="75" t="s">
        <v>122</v>
      </c>
      <c r="C245" s="75">
        <v>2011</v>
      </c>
      <c r="D245" s="129" t="s">
        <v>123</v>
      </c>
      <c r="E245" s="75" t="s">
        <v>466</v>
      </c>
      <c r="F245" s="75" t="s">
        <v>346</v>
      </c>
      <c r="G245" s="77">
        <f>52700*M245/L245</f>
        <v>1467.5876084807205</v>
      </c>
      <c r="H245" s="77" t="s">
        <v>599</v>
      </c>
      <c r="I245" s="78" t="s">
        <v>429</v>
      </c>
      <c r="J245" s="79">
        <v>211</v>
      </c>
      <c r="K245" s="124">
        <v>1124</v>
      </c>
      <c r="L245" s="125" t="s">
        <v>448</v>
      </c>
      <c r="M245" s="125" t="s">
        <v>598</v>
      </c>
      <c r="N245" s="168">
        <f>52700*M245</f>
        <v>267189</v>
      </c>
      <c r="O245" s="91">
        <v>41747</v>
      </c>
      <c r="P245" s="69"/>
      <c r="Q245" s="69"/>
      <c r="R245" s="69"/>
      <c r="S245" s="69"/>
      <c r="T245" s="69"/>
      <c r="U245" s="69"/>
      <c r="V245" s="69"/>
      <c r="W245" s="69"/>
    </row>
    <row r="246" spans="1:23" s="72" customFormat="1" ht="53.25" customHeight="1" x14ac:dyDescent="0.25">
      <c r="A246" s="74"/>
      <c r="B246" s="75" t="s">
        <v>25</v>
      </c>
      <c r="C246" s="75">
        <v>2010</v>
      </c>
      <c r="D246" s="93" t="s">
        <v>26</v>
      </c>
      <c r="E246" s="75" t="s">
        <v>473</v>
      </c>
      <c r="F246" s="75" t="s">
        <v>346</v>
      </c>
      <c r="G246" s="77">
        <f>20075*M246/L246</f>
        <v>559.04784137097658</v>
      </c>
      <c r="H246" s="77" t="s">
        <v>600</v>
      </c>
      <c r="I246" s="78" t="s">
        <v>429</v>
      </c>
      <c r="J246" s="79">
        <v>212</v>
      </c>
      <c r="K246" s="124">
        <v>1125</v>
      </c>
      <c r="L246" s="125" t="s">
        <v>448</v>
      </c>
      <c r="M246" s="125" t="s">
        <v>598</v>
      </c>
      <c r="N246" s="168">
        <f>20075*M246</f>
        <v>101780.25</v>
      </c>
      <c r="O246" s="91">
        <v>41747</v>
      </c>
      <c r="P246" s="69"/>
      <c r="Q246" s="69"/>
      <c r="R246" s="69"/>
      <c r="S246" s="69"/>
      <c r="T246" s="69"/>
      <c r="U246" s="69"/>
      <c r="V246" s="69"/>
      <c r="W246" s="69"/>
    </row>
    <row r="247" spans="1:23" s="70" customFormat="1" ht="118.2" customHeight="1" x14ac:dyDescent="0.25">
      <c r="A247" s="74"/>
      <c r="B247" s="75" t="s">
        <v>182</v>
      </c>
      <c r="C247" s="75">
        <v>2006</v>
      </c>
      <c r="D247" s="75" t="s">
        <v>183</v>
      </c>
      <c r="E247" s="75" t="s">
        <v>473</v>
      </c>
      <c r="F247" s="75" t="s">
        <v>184</v>
      </c>
      <c r="G247" s="77">
        <f>N247/L247</f>
        <v>1265.5419500137323</v>
      </c>
      <c r="H247" s="77" t="s">
        <v>1295</v>
      </c>
      <c r="I247" s="78" t="s">
        <v>41</v>
      </c>
      <c r="J247" s="79">
        <v>213</v>
      </c>
      <c r="K247" s="124">
        <v>1126</v>
      </c>
      <c r="L247" s="125" t="s">
        <v>487</v>
      </c>
      <c r="M247" s="125" t="s">
        <v>603</v>
      </c>
      <c r="N247" s="168">
        <f>44546*M247</f>
        <v>230391.91199999998</v>
      </c>
      <c r="O247" s="91">
        <v>41750</v>
      </c>
      <c r="P247" s="69"/>
      <c r="Q247" s="69"/>
      <c r="R247" s="69"/>
      <c r="S247" s="69"/>
      <c r="T247" s="69"/>
      <c r="U247" s="69"/>
      <c r="V247" s="69"/>
      <c r="W247" s="69"/>
    </row>
    <row r="248" spans="1:23" ht="31.5" customHeight="1" x14ac:dyDescent="0.25">
      <c r="A248" s="74"/>
      <c r="B248" s="75" t="s">
        <v>460</v>
      </c>
      <c r="C248" s="75">
        <v>1998</v>
      </c>
      <c r="D248" s="85" t="s">
        <v>461</v>
      </c>
      <c r="E248" s="75" t="s">
        <v>473</v>
      </c>
      <c r="F248" s="75" t="s">
        <v>240</v>
      </c>
      <c r="G248" s="77">
        <v>9000</v>
      </c>
      <c r="H248" s="77" t="s">
        <v>566</v>
      </c>
      <c r="I248" s="78" t="s">
        <v>41</v>
      </c>
      <c r="J248" s="79">
        <v>214</v>
      </c>
      <c r="K248" s="124">
        <v>1127</v>
      </c>
      <c r="L248" s="125" t="s">
        <v>604</v>
      </c>
      <c r="M248" s="125"/>
      <c r="N248" s="168">
        <f>G248*L248</f>
        <v>1642950</v>
      </c>
      <c r="O248" s="91">
        <v>41750</v>
      </c>
      <c r="P248" s="69"/>
      <c r="Q248" s="69"/>
      <c r="R248" s="69"/>
      <c r="S248" s="69"/>
      <c r="T248" s="69"/>
      <c r="U248" s="69"/>
      <c r="V248" s="69"/>
      <c r="W248" s="69"/>
    </row>
    <row r="249" spans="1:23" s="67" customFormat="1" ht="64.5" customHeight="1" x14ac:dyDescent="0.25">
      <c r="A249" s="74"/>
      <c r="B249" s="75" t="s">
        <v>605</v>
      </c>
      <c r="C249" s="75">
        <v>2010</v>
      </c>
      <c r="D249" s="93" t="s">
        <v>17</v>
      </c>
      <c r="E249" s="75" t="s">
        <v>466</v>
      </c>
      <c r="F249" s="93" t="s">
        <v>18</v>
      </c>
      <c r="G249" s="77">
        <f>N249/L249</f>
        <v>1193.4947541884096</v>
      </c>
      <c r="H249" s="77" t="s">
        <v>1297</v>
      </c>
      <c r="I249" s="78" t="s">
        <v>429</v>
      </c>
      <c r="J249" s="79">
        <v>215</v>
      </c>
      <c r="K249" s="124">
        <v>1128</v>
      </c>
      <c r="L249" s="125" t="s">
        <v>487</v>
      </c>
      <c r="M249" s="125" t="s">
        <v>603</v>
      </c>
      <c r="N249" s="168">
        <f>42010*M249</f>
        <v>217275.72</v>
      </c>
      <c r="O249" s="91">
        <v>41750</v>
      </c>
      <c r="P249" s="69"/>
      <c r="Q249" s="69"/>
      <c r="R249" s="69"/>
      <c r="S249" s="69"/>
      <c r="T249" s="69"/>
      <c r="U249" s="69"/>
      <c r="V249" s="69"/>
      <c r="W249" s="69"/>
    </row>
    <row r="250" spans="1:23" ht="31.2" customHeight="1" x14ac:dyDescent="0.25">
      <c r="A250" s="74">
        <v>852</v>
      </c>
      <c r="B250" s="75" t="s">
        <v>607</v>
      </c>
      <c r="C250" s="75">
        <v>2009</v>
      </c>
      <c r="D250" s="75" t="s">
        <v>46</v>
      </c>
      <c r="E250" s="75">
        <v>2014</v>
      </c>
      <c r="F250" s="75" t="s">
        <v>101</v>
      </c>
      <c r="G250" s="77">
        <v>8000</v>
      </c>
      <c r="H250" s="77" t="s">
        <v>608</v>
      </c>
      <c r="I250" s="78" t="s">
        <v>41</v>
      </c>
      <c r="J250" s="79">
        <v>216</v>
      </c>
      <c r="K250" s="124">
        <v>1129</v>
      </c>
      <c r="L250" s="125" t="s">
        <v>552</v>
      </c>
      <c r="M250" s="125"/>
      <c r="N250" s="168">
        <f t="shared" ref="N250:N257" si="2">G250*L250</f>
        <v>1461200</v>
      </c>
      <c r="O250" s="91">
        <v>41750</v>
      </c>
      <c r="P250" s="69"/>
      <c r="Q250" s="69"/>
      <c r="R250" s="69"/>
      <c r="S250" s="69"/>
      <c r="T250" s="69"/>
      <c r="U250" s="69"/>
      <c r="V250" s="69"/>
      <c r="W250" s="69"/>
    </row>
    <row r="251" spans="1:23" ht="63.75" customHeight="1" x14ac:dyDescent="0.25">
      <c r="A251" s="74"/>
      <c r="B251" s="75" t="s">
        <v>477</v>
      </c>
      <c r="C251" s="75">
        <v>1998</v>
      </c>
      <c r="D251" s="85" t="s">
        <v>478</v>
      </c>
      <c r="E251" s="75" t="s">
        <v>473</v>
      </c>
      <c r="F251" s="75" t="s">
        <v>240</v>
      </c>
      <c r="G251" s="77">
        <v>5000</v>
      </c>
      <c r="H251" s="77" t="s">
        <v>581</v>
      </c>
      <c r="I251" s="78" t="s">
        <v>41</v>
      </c>
      <c r="J251" s="79">
        <v>217</v>
      </c>
      <c r="K251" s="124">
        <v>1130</v>
      </c>
      <c r="L251" s="125" t="s">
        <v>537</v>
      </c>
      <c r="M251" s="125"/>
      <c r="N251" s="168">
        <f t="shared" si="2"/>
        <v>910350</v>
      </c>
      <c r="O251" s="91">
        <v>41751</v>
      </c>
      <c r="P251" s="69"/>
      <c r="Q251" s="69"/>
      <c r="R251" s="69"/>
      <c r="S251" s="69"/>
      <c r="T251" s="69"/>
      <c r="U251" s="69"/>
      <c r="V251" s="69"/>
      <c r="W251" s="69"/>
    </row>
    <row r="252" spans="1:23" ht="87" customHeight="1" x14ac:dyDescent="0.25">
      <c r="A252" s="74"/>
      <c r="B252" s="75" t="s">
        <v>122</v>
      </c>
      <c r="C252" s="75">
        <v>2011</v>
      </c>
      <c r="D252" s="75" t="s">
        <v>123</v>
      </c>
      <c r="E252" s="75" t="s">
        <v>586</v>
      </c>
      <c r="F252" s="120" t="s">
        <v>423</v>
      </c>
      <c r="G252" s="77">
        <v>9000</v>
      </c>
      <c r="H252" s="77" t="s">
        <v>566</v>
      </c>
      <c r="I252" s="78" t="s">
        <v>429</v>
      </c>
      <c r="J252" s="79">
        <v>218</v>
      </c>
      <c r="K252" s="124">
        <v>1131</v>
      </c>
      <c r="L252" s="125" t="s">
        <v>610</v>
      </c>
      <c r="M252" s="125"/>
      <c r="N252" s="168">
        <f t="shared" si="2"/>
        <v>1643400</v>
      </c>
      <c r="O252" s="91">
        <v>41751</v>
      </c>
      <c r="P252" s="69"/>
      <c r="Q252" s="69"/>
      <c r="R252" s="69"/>
      <c r="S252" s="69"/>
      <c r="T252" s="69"/>
      <c r="U252" s="69"/>
      <c r="V252" s="69"/>
      <c r="W252" s="69"/>
    </row>
    <row r="253" spans="1:23" s="72" customFormat="1" ht="35.4" customHeight="1" x14ac:dyDescent="0.25">
      <c r="A253" s="74"/>
      <c r="B253" s="75" t="s">
        <v>127</v>
      </c>
      <c r="C253" s="75">
        <v>2009</v>
      </c>
      <c r="D253" s="127" t="s">
        <v>44</v>
      </c>
      <c r="E253" s="75" t="s">
        <v>586</v>
      </c>
      <c r="F253" s="120" t="s">
        <v>423</v>
      </c>
      <c r="G253" s="77">
        <v>9000</v>
      </c>
      <c r="H253" s="77" t="s">
        <v>566</v>
      </c>
      <c r="I253" s="78" t="s">
        <v>429</v>
      </c>
      <c r="J253" s="79">
        <v>219</v>
      </c>
      <c r="K253" s="124">
        <v>1132</v>
      </c>
      <c r="L253" s="125" t="s">
        <v>537</v>
      </c>
      <c r="M253" s="125"/>
      <c r="N253" s="168">
        <f t="shared" si="2"/>
        <v>1638630</v>
      </c>
      <c r="O253" s="91">
        <v>41751</v>
      </c>
      <c r="P253" s="69"/>
      <c r="Q253" s="69"/>
      <c r="R253" s="69"/>
      <c r="S253" s="69"/>
      <c r="T253" s="69"/>
      <c r="U253" s="69"/>
      <c r="V253" s="69"/>
      <c r="W253" s="69"/>
    </row>
    <row r="254" spans="1:23" ht="90" customHeight="1" x14ac:dyDescent="0.25">
      <c r="A254" s="74"/>
      <c r="B254" s="75" t="s">
        <v>122</v>
      </c>
      <c r="C254" s="75">
        <v>2011</v>
      </c>
      <c r="D254" s="75" t="s">
        <v>123</v>
      </c>
      <c r="E254" s="75" t="s">
        <v>611</v>
      </c>
      <c r="F254" s="120" t="s">
        <v>423</v>
      </c>
      <c r="G254" s="77">
        <v>9000</v>
      </c>
      <c r="H254" s="77" t="s">
        <v>566</v>
      </c>
      <c r="I254" s="78" t="s">
        <v>429</v>
      </c>
      <c r="J254" s="79">
        <v>220</v>
      </c>
      <c r="K254" s="124">
        <v>1133</v>
      </c>
      <c r="L254" s="125" t="s">
        <v>610</v>
      </c>
      <c r="M254" s="125"/>
      <c r="N254" s="168">
        <f t="shared" si="2"/>
        <v>1643400</v>
      </c>
      <c r="O254" s="91">
        <v>41752</v>
      </c>
      <c r="P254" s="69"/>
      <c r="Q254" s="69"/>
      <c r="R254" s="69"/>
      <c r="S254" s="69"/>
      <c r="T254" s="69"/>
      <c r="U254" s="69"/>
      <c r="V254" s="69"/>
      <c r="W254" s="69"/>
    </row>
    <row r="255" spans="1:23" s="72" customFormat="1" ht="33" customHeight="1" x14ac:dyDescent="0.25">
      <c r="A255" s="74"/>
      <c r="B255" s="75" t="s">
        <v>127</v>
      </c>
      <c r="C255" s="75">
        <v>2009</v>
      </c>
      <c r="D255" s="127" t="s">
        <v>44</v>
      </c>
      <c r="E255" s="75" t="s">
        <v>611</v>
      </c>
      <c r="F255" s="120" t="s">
        <v>423</v>
      </c>
      <c r="G255" s="77">
        <v>2000</v>
      </c>
      <c r="H255" s="77" t="s">
        <v>612</v>
      </c>
      <c r="I255" s="78" t="s">
        <v>429</v>
      </c>
      <c r="J255" s="79">
        <v>221</v>
      </c>
      <c r="K255" s="124">
        <v>1134</v>
      </c>
      <c r="L255" s="125" t="s">
        <v>610</v>
      </c>
      <c r="M255" s="125"/>
      <c r="N255" s="168">
        <f t="shared" si="2"/>
        <v>365200</v>
      </c>
      <c r="O255" s="91">
        <v>41752</v>
      </c>
      <c r="P255" s="69"/>
      <c r="Q255" s="69"/>
      <c r="R255" s="69"/>
      <c r="S255" s="69"/>
      <c r="T255" s="69"/>
      <c r="U255" s="69"/>
      <c r="V255" s="69"/>
      <c r="W255" s="69"/>
    </row>
    <row r="256" spans="1:23" ht="87" customHeight="1" x14ac:dyDescent="0.25">
      <c r="A256" s="74"/>
      <c r="B256" s="75" t="s">
        <v>122</v>
      </c>
      <c r="C256" s="75">
        <v>2011</v>
      </c>
      <c r="D256" s="75" t="s">
        <v>123</v>
      </c>
      <c r="E256" s="75" t="s">
        <v>613</v>
      </c>
      <c r="F256" s="120" t="s">
        <v>423</v>
      </c>
      <c r="G256" s="77">
        <v>9000</v>
      </c>
      <c r="H256" s="77" t="s">
        <v>566</v>
      </c>
      <c r="I256" s="78" t="s">
        <v>429</v>
      </c>
      <c r="J256" s="79">
        <v>222</v>
      </c>
      <c r="K256" s="124">
        <v>1135</v>
      </c>
      <c r="L256" s="125" t="s">
        <v>604</v>
      </c>
      <c r="M256" s="125"/>
      <c r="N256" s="168">
        <f t="shared" si="2"/>
        <v>1642950</v>
      </c>
      <c r="O256" s="91">
        <v>41753</v>
      </c>
      <c r="P256" s="69"/>
      <c r="Q256" s="69"/>
      <c r="R256" s="69"/>
      <c r="S256" s="69"/>
      <c r="T256" s="69"/>
      <c r="U256" s="69"/>
      <c r="V256" s="69"/>
      <c r="W256" s="69"/>
    </row>
    <row r="257" spans="1:23" ht="30" customHeight="1" x14ac:dyDescent="0.25">
      <c r="A257" s="74"/>
      <c r="B257" s="75" t="s">
        <v>460</v>
      </c>
      <c r="C257" s="75">
        <v>1998</v>
      </c>
      <c r="D257" s="85" t="s">
        <v>461</v>
      </c>
      <c r="E257" s="75" t="s">
        <v>524</v>
      </c>
      <c r="F257" s="75" t="s">
        <v>240</v>
      </c>
      <c r="G257" s="77">
        <v>9000</v>
      </c>
      <c r="H257" s="77" t="s">
        <v>566</v>
      </c>
      <c r="I257" s="78" t="s">
        <v>429</v>
      </c>
      <c r="J257" s="79">
        <v>223</v>
      </c>
      <c r="K257" s="124">
        <v>1136</v>
      </c>
      <c r="L257" s="125" t="s">
        <v>610</v>
      </c>
      <c r="M257" s="125"/>
      <c r="N257" s="168">
        <f t="shared" si="2"/>
        <v>1643400</v>
      </c>
      <c r="O257" s="91">
        <v>41753</v>
      </c>
      <c r="P257" s="69"/>
      <c r="Q257" s="69"/>
      <c r="R257" s="69"/>
      <c r="S257" s="69"/>
      <c r="T257" s="69"/>
      <c r="U257" s="69"/>
      <c r="V257" s="69"/>
      <c r="W257" s="69"/>
    </row>
    <row r="258" spans="1:23" ht="42" customHeight="1" x14ac:dyDescent="0.25">
      <c r="A258" s="74">
        <v>853</v>
      </c>
      <c r="B258" s="75" t="s">
        <v>615</v>
      </c>
      <c r="C258" s="75">
        <v>2011</v>
      </c>
      <c r="D258" s="85" t="s">
        <v>46</v>
      </c>
      <c r="E258" s="75">
        <v>2014</v>
      </c>
      <c r="F258" s="85" t="s">
        <v>266</v>
      </c>
      <c r="G258" s="77">
        <f>145500*M258/L258</f>
        <v>4122.3007395234181</v>
      </c>
      <c r="H258" s="77" t="s">
        <v>616</v>
      </c>
      <c r="I258" s="78" t="s">
        <v>41</v>
      </c>
      <c r="J258" s="79">
        <v>224</v>
      </c>
      <c r="K258" s="124">
        <v>1137</v>
      </c>
      <c r="L258" s="125" t="s">
        <v>604</v>
      </c>
      <c r="M258" s="125" t="s">
        <v>603</v>
      </c>
      <c r="N258" s="168">
        <f>145500*M258</f>
        <v>752526</v>
      </c>
      <c r="O258" s="91">
        <v>41754</v>
      </c>
      <c r="P258" s="69"/>
      <c r="Q258" s="69"/>
      <c r="R258" s="69"/>
      <c r="S258" s="69"/>
      <c r="T258" s="69"/>
      <c r="U258" s="69"/>
      <c r="V258" s="69"/>
      <c r="W258" s="69"/>
    </row>
    <row r="259" spans="1:23" ht="32.4" customHeight="1" x14ac:dyDescent="0.25">
      <c r="A259" s="74">
        <v>854</v>
      </c>
      <c r="B259" s="75" t="s">
        <v>617</v>
      </c>
      <c r="C259" s="75">
        <v>2010</v>
      </c>
      <c r="D259" s="85" t="s">
        <v>46</v>
      </c>
      <c r="E259" s="75">
        <v>2014</v>
      </c>
      <c r="F259" s="75" t="s">
        <v>101</v>
      </c>
      <c r="G259" s="77">
        <v>7935</v>
      </c>
      <c r="H259" s="77" t="s">
        <v>618</v>
      </c>
      <c r="I259" s="78" t="s">
        <v>41</v>
      </c>
      <c r="J259" s="79">
        <v>225</v>
      </c>
      <c r="K259" s="124">
        <v>1138</v>
      </c>
      <c r="L259" s="125" t="s">
        <v>604</v>
      </c>
      <c r="M259" s="125"/>
      <c r="N259" s="168">
        <f>G259*L259</f>
        <v>1448534.25</v>
      </c>
      <c r="O259" s="91">
        <v>41754</v>
      </c>
      <c r="P259" s="69"/>
      <c r="Q259" s="69"/>
      <c r="R259" s="69"/>
      <c r="S259" s="69"/>
      <c r="T259" s="69"/>
      <c r="U259" s="69"/>
      <c r="V259" s="69"/>
      <c r="W259" s="69"/>
    </row>
    <row r="260" spans="1:23" ht="90" customHeight="1" x14ac:dyDescent="0.25">
      <c r="A260" s="74"/>
      <c r="B260" s="75" t="s">
        <v>122</v>
      </c>
      <c r="C260" s="75">
        <v>2011</v>
      </c>
      <c r="D260" s="75" t="s">
        <v>123</v>
      </c>
      <c r="E260" s="75" t="s">
        <v>639</v>
      </c>
      <c r="F260" s="120" t="s">
        <v>423</v>
      </c>
      <c r="G260" s="77">
        <v>9000</v>
      </c>
      <c r="H260" s="77" t="s">
        <v>566</v>
      </c>
      <c r="I260" s="78" t="s">
        <v>429</v>
      </c>
      <c r="J260" s="79">
        <v>226</v>
      </c>
      <c r="K260" s="124">
        <v>1139</v>
      </c>
      <c r="L260" s="125" t="s">
        <v>610</v>
      </c>
      <c r="M260" s="125"/>
      <c r="N260" s="168">
        <f>G260*L260</f>
        <v>1643400</v>
      </c>
      <c r="O260" s="91">
        <v>41754</v>
      </c>
      <c r="P260" s="69"/>
      <c r="Q260" s="69"/>
      <c r="R260" s="69"/>
      <c r="S260" s="69"/>
      <c r="T260" s="69"/>
      <c r="U260" s="69"/>
      <c r="V260" s="69"/>
      <c r="W260" s="69"/>
    </row>
    <row r="261" spans="1:23" ht="31.95" customHeight="1" x14ac:dyDescent="0.25">
      <c r="A261" s="74"/>
      <c r="B261" s="75" t="s">
        <v>460</v>
      </c>
      <c r="C261" s="75">
        <v>1998</v>
      </c>
      <c r="D261" s="85" t="s">
        <v>461</v>
      </c>
      <c r="E261" s="75" t="s">
        <v>466</v>
      </c>
      <c r="F261" s="75" t="s">
        <v>240</v>
      </c>
      <c r="G261" s="77">
        <v>3000</v>
      </c>
      <c r="H261" s="77" t="s">
        <v>614</v>
      </c>
      <c r="I261" s="78" t="s">
        <v>429</v>
      </c>
      <c r="J261" s="79">
        <v>227</v>
      </c>
      <c r="K261" s="124">
        <v>1140</v>
      </c>
      <c r="L261" s="125" t="s">
        <v>552</v>
      </c>
      <c r="M261" s="125"/>
      <c r="N261" s="168">
        <f>G261*L261</f>
        <v>547950</v>
      </c>
      <c r="O261" s="91">
        <v>41754</v>
      </c>
      <c r="P261" s="69"/>
      <c r="Q261" s="69"/>
      <c r="R261" s="69"/>
      <c r="S261" s="69"/>
      <c r="T261" s="69"/>
      <c r="U261" s="69"/>
      <c r="V261" s="69"/>
      <c r="W261" s="69"/>
    </row>
    <row r="262" spans="1:23" s="72" customFormat="1" ht="33.6" customHeight="1" x14ac:dyDescent="0.25">
      <c r="A262" s="74">
        <v>855</v>
      </c>
      <c r="B262" s="75" t="s">
        <v>623</v>
      </c>
      <c r="C262" s="75">
        <v>2009</v>
      </c>
      <c r="D262" s="85" t="s">
        <v>46</v>
      </c>
      <c r="E262" s="75">
        <v>2014</v>
      </c>
      <c r="F262" s="75" t="s">
        <v>625</v>
      </c>
      <c r="G262" s="77">
        <f>3755*M262/L262</f>
        <v>5245.7768803911877</v>
      </c>
      <c r="H262" s="77" t="s">
        <v>197</v>
      </c>
      <c r="I262" s="78" t="s">
        <v>41</v>
      </c>
      <c r="J262" s="79">
        <v>228</v>
      </c>
      <c r="K262" s="124">
        <v>1141</v>
      </c>
      <c r="L262" s="125" t="s">
        <v>542</v>
      </c>
      <c r="M262" s="125" t="s">
        <v>624</v>
      </c>
      <c r="N262" s="168">
        <f>3755*M262</f>
        <v>954783.85000000009</v>
      </c>
      <c r="O262" s="91">
        <v>41754</v>
      </c>
      <c r="P262" s="69"/>
      <c r="Q262" s="69"/>
      <c r="R262" s="69"/>
      <c r="S262" s="69"/>
      <c r="T262" s="69"/>
      <c r="U262" s="69"/>
      <c r="V262" s="69"/>
      <c r="W262" s="69"/>
    </row>
    <row r="263" spans="1:23" s="72" customFormat="1" ht="51" customHeight="1" x14ac:dyDescent="0.25">
      <c r="A263" s="74"/>
      <c r="B263" s="75" t="s">
        <v>194</v>
      </c>
      <c r="C263" s="75">
        <v>2009</v>
      </c>
      <c r="D263" s="85" t="s">
        <v>46</v>
      </c>
      <c r="E263" s="75">
        <v>2014</v>
      </c>
      <c r="F263" s="75" t="s">
        <v>156</v>
      </c>
      <c r="G263" s="77">
        <v>7925</v>
      </c>
      <c r="H263" s="77" t="s">
        <v>619</v>
      </c>
      <c r="I263" s="78" t="s">
        <v>41</v>
      </c>
      <c r="J263" s="79">
        <v>229</v>
      </c>
      <c r="K263" s="124">
        <v>1142</v>
      </c>
      <c r="L263" s="125" t="s">
        <v>604</v>
      </c>
      <c r="M263" s="125"/>
      <c r="N263" s="168">
        <f>G263*L263</f>
        <v>1446708.75</v>
      </c>
      <c r="O263" s="91">
        <v>41754</v>
      </c>
      <c r="P263" s="69"/>
      <c r="Q263" s="69"/>
      <c r="R263" s="69"/>
      <c r="S263" s="69"/>
      <c r="T263" s="69"/>
      <c r="U263" s="69"/>
      <c r="V263" s="69"/>
      <c r="W263" s="69"/>
    </row>
    <row r="264" spans="1:23" s="72" customFormat="1" ht="51" customHeight="1" x14ac:dyDescent="0.25">
      <c r="A264" s="74"/>
      <c r="B264" s="75" t="s">
        <v>91</v>
      </c>
      <c r="C264" s="75">
        <v>2011</v>
      </c>
      <c r="D264" s="85" t="s">
        <v>46</v>
      </c>
      <c r="E264" s="75" t="s">
        <v>473</v>
      </c>
      <c r="F264" s="75" t="s">
        <v>156</v>
      </c>
      <c r="G264" s="77">
        <v>7961</v>
      </c>
      <c r="H264" s="77" t="s">
        <v>620</v>
      </c>
      <c r="I264" s="78" t="s">
        <v>41</v>
      </c>
      <c r="J264" s="79">
        <v>230</v>
      </c>
      <c r="K264" s="124">
        <v>1143</v>
      </c>
      <c r="L264" s="125" t="s">
        <v>604</v>
      </c>
      <c r="M264" s="125"/>
      <c r="N264" s="168">
        <f>G264*L264</f>
        <v>1453280.55</v>
      </c>
      <c r="O264" s="91">
        <v>41757</v>
      </c>
      <c r="P264" s="69"/>
      <c r="Q264" s="69"/>
      <c r="R264" s="69"/>
      <c r="S264" s="69"/>
      <c r="T264" s="69"/>
      <c r="U264" s="69"/>
      <c r="V264" s="69"/>
      <c r="W264" s="69"/>
    </row>
    <row r="265" spans="1:23" s="72" customFormat="1" ht="51" customHeight="1" x14ac:dyDescent="0.25">
      <c r="A265" s="74">
        <v>856</v>
      </c>
      <c r="B265" s="75" t="s">
        <v>621</v>
      </c>
      <c r="C265" s="75">
        <v>2009</v>
      </c>
      <c r="D265" s="85" t="s">
        <v>46</v>
      </c>
      <c r="E265" s="75">
        <v>2014</v>
      </c>
      <c r="F265" s="75" t="s">
        <v>156</v>
      </c>
      <c r="G265" s="77">
        <v>7961</v>
      </c>
      <c r="H265" s="77" t="s">
        <v>620</v>
      </c>
      <c r="I265" s="78" t="s">
        <v>41</v>
      </c>
      <c r="J265" s="79">
        <v>231</v>
      </c>
      <c r="K265" s="124">
        <v>1144</v>
      </c>
      <c r="L265" s="125" t="s">
        <v>604</v>
      </c>
      <c r="M265" s="125"/>
      <c r="N265" s="168">
        <f>G265*L265</f>
        <v>1453280.55</v>
      </c>
      <c r="O265" s="91">
        <v>41757</v>
      </c>
      <c r="P265" s="69"/>
      <c r="Q265" s="69"/>
      <c r="R265" s="69"/>
      <c r="S265" s="69"/>
      <c r="T265" s="69"/>
      <c r="U265" s="69"/>
      <c r="V265" s="69"/>
      <c r="W265" s="69"/>
    </row>
    <row r="266" spans="1:23" s="72" customFormat="1" ht="51" customHeight="1" x14ac:dyDescent="0.25">
      <c r="A266" s="74"/>
      <c r="B266" s="75" t="s">
        <v>90</v>
      </c>
      <c r="C266" s="75">
        <v>2009</v>
      </c>
      <c r="D266" s="85" t="s">
        <v>46</v>
      </c>
      <c r="E266" s="75" t="s">
        <v>473</v>
      </c>
      <c r="F266" s="75" t="s">
        <v>156</v>
      </c>
      <c r="G266" s="77">
        <v>7961</v>
      </c>
      <c r="H266" s="77" t="s">
        <v>620</v>
      </c>
      <c r="I266" s="78" t="s">
        <v>41</v>
      </c>
      <c r="J266" s="79">
        <v>232</v>
      </c>
      <c r="K266" s="124">
        <v>1145</v>
      </c>
      <c r="L266" s="125" t="s">
        <v>604</v>
      </c>
      <c r="M266" s="125"/>
      <c r="N266" s="168">
        <f>G266*L266</f>
        <v>1453280.55</v>
      </c>
      <c r="O266" s="91">
        <v>41757</v>
      </c>
      <c r="P266" s="69"/>
      <c r="Q266" s="69"/>
      <c r="R266" s="69"/>
      <c r="S266" s="69"/>
      <c r="T266" s="69"/>
      <c r="U266" s="69"/>
      <c r="V266" s="69"/>
      <c r="W266" s="69"/>
    </row>
    <row r="267" spans="1:23" s="72" customFormat="1" ht="51" customHeight="1" x14ac:dyDescent="0.25">
      <c r="A267" s="74">
        <v>857</v>
      </c>
      <c r="B267" s="75" t="s">
        <v>622</v>
      </c>
      <c r="C267" s="75">
        <v>2008</v>
      </c>
      <c r="D267" s="85" t="s">
        <v>46</v>
      </c>
      <c r="E267" s="75">
        <v>2014</v>
      </c>
      <c r="F267" s="75" t="s">
        <v>156</v>
      </c>
      <c r="G267" s="77">
        <v>7961</v>
      </c>
      <c r="H267" s="77" t="s">
        <v>620</v>
      </c>
      <c r="I267" s="78" t="s">
        <v>41</v>
      </c>
      <c r="J267" s="79">
        <v>233</v>
      </c>
      <c r="K267" s="124">
        <v>1146</v>
      </c>
      <c r="L267" s="125" t="s">
        <v>604</v>
      </c>
      <c r="M267" s="125"/>
      <c r="N267" s="168">
        <f>G267*L267</f>
        <v>1453280.55</v>
      </c>
      <c r="O267" s="91">
        <v>41757</v>
      </c>
      <c r="P267" s="69"/>
      <c r="Q267" s="69"/>
      <c r="R267" s="69"/>
      <c r="S267" s="69"/>
      <c r="T267" s="69"/>
      <c r="U267" s="69"/>
      <c r="V267" s="69"/>
      <c r="W267" s="69"/>
    </row>
    <row r="268" spans="1:23" s="72" customFormat="1" ht="30.75" customHeight="1" x14ac:dyDescent="0.25">
      <c r="A268" s="74"/>
      <c r="B268" s="75" t="s">
        <v>229</v>
      </c>
      <c r="C268" s="75">
        <v>2011</v>
      </c>
      <c r="D268" s="75" t="s">
        <v>329</v>
      </c>
      <c r="E268" s="85" t="s">
        <v>626</v>
      </c>
      <c r="F268" s="75" t="s">
        <v>330</v>
      </c>
      <c r="G268" s="77">
        <f>6707*M268/L268</f>
        <v>187.93308059996704</v>
      </c>
      <c r="H268" s="77" t="s">
        <v>627</v>
      </c>
      <c r="I268" s="78" t="s">
        <v>429</v>
      </c>
      <c r="J268" s="79">
        <v>234</v>
      </c>
      <c r="K268" s="124">
        <v>1147</v>
      </c>
      <c r="L268" s="125" t="s">
        <v>542</v>
      </c>
      <c r="M268" s="125" t="s">
        <v>592</v>
      </c>
      <c r="N268" s="168">
        <f>6707*M268</f>
        <v>34205.699999999997</v>
      </c>
      <c r="O268" s="91">
        <v>41757</v>
      </c>
      <c r="P268" s="69"/>
      <c r="Q268" s="69"/>
      <c r="R268" s="69"/>
      <c r="S268" s="69"/>
      <c r="T268" s="69"/>
      <c r="U268" s="69"/>
      <c r="V268" s="69"/>
      <c r="W268" s="69"/>
    </row>
    <row r="269" spans="1:23" s="72" customFormat="1" ht="42" customHeight="1" x14ac:dyDescent="0.25">
      <c r="A269" s="74"/>
      <c r="B269" s="75" t="s">
        <v>150</v>
      </c>
      <c r="C269" s="75">
        <v>2009</v>
      </c>
      <c r="D269" s="75" t="s">
        <v>406</v>
      </c>
      <c r="E269" s="75" t="s">
        <v>524</v>
      </c>
      <c r="F269" s="120" t="s">
        <v>97</v>
      </c>
      <c r="G269" s="77">
        <f>284850*M269/L269</f>
        <v>8048.9179165979895</v>
      </c>
      <c r="H269" s="77" t="s">
        <v>628</v>
      </c>
      <c r="I269" s="78" t="s">
        <v>429</v>
      </c>
      <c r="J269" s="79">
        <v>235</v>
      </c>
      <c r="K269" s="124">
        <v>1148</v>
      </c>
      <c r="L269" s="125" t="s">
        <v>542</v>
      </c>
      <c r="M269" s="125" t="s">
        <v>629</v>
      </c>
      <c r="N269" s="168">
        <f>284850*M269</f>
        <v>1464983.55</v>
      </c>
      <c r="O269" s="91">
        <v>41757</v>
      </c>
      <c r="P269" s="69"/>
      <c r="Q269" s="69"/>
      <c r="R269" s="69"/>
      <c r="S269" s="69"/>
      <c r="T269" s="69"/>
      <c r="U269" s="69"/>
      <c r="V269" s="69"/>
      <c r="W269" s="69"/>
    </row>
    <row r="270" spans="1:23" s="72" customFormat="1" ht="36.6" customHeight="1" x14ac:dyDescent="0.25">
      <c r="A270" s="74"/>
      <c r="B270" s="75" t="s">
        <v>193</v>
      </c>
      <c r="C270" s="75">
        <v>2008</v>
      </c>
      <c r="D270" s="85" t="s">
        <v>46</v>
      </c>
      <c r="E270" s="75" t="s">
        <v>630</v>
      </c>
      <c r="F270" s="120" t="s">
        <v>257</v>
      </c>
      <c r="G270" s="77">
        <v>7925</v>
      </c>
      <c r="H270" s="77" t="s">
        <v>619</v>
      </c>
      <c r="I270" s="78" t="s">
        <v>41</v>
      </c>
      <c r="J270" s="79">
        <v>236</v>
      </c>
      <c r="K270" s="124">
        <v>1149</v>
      </c>
      <c r="L270" s="125" t="s">
        <v>552</v>
      </c>
      <c r="M270" s="125"/>
      <c r="N270" s="168">
        <f t="shared" ref="N270:N276" si="3">G270*L270</f>
        <v>1447501.25</v>
      </c>
      <c r="O270" s="91">
        <v>41757</v>
      </c>
      <c r="P270" s="69"/>
      <c r="Q270" s="69"/>
      <c r="R270" s="69"/>
      <c r="S270" s="69"/>
      <c r="T270" s="69"/>
      <c r="U270" s="69"/>
      <c r="V270" s="69"/>
      <c r="W270" s="69"/>
    </row>
    <row r="271" spans="1:23" ht="31.2" customHeight="1" x14ac:dyDescent="0.25">
      <c r="A271" s="74">
        <v>858</v>
      </c>
      <c r="B271" s="75" t="s">
        <v>631</v>
      </c>
      <c r="C271" s="75">
        <v>2007</v>
      </c>
      <c r="D271" s="85" t="s">
        <v>46</v>
      </c>
      <c r="E271" s="75">
        <v>2014</v>
      </c>
      <c r="F271" s="75" t="s">
        <v>203</v>
      </c>
      <c r="G271" s="77">
        <v>7925</v>
      </c>
      <c r="H271" s="77" t="s">
        <v>619</v>
      </c>
      <c r="I271" s="78" t="s">
        <v>41</v>
      </c>
      <c r="J271" s="79">
        <v>237</v>
      </c>
      <c r="K271" s="124">
        <v>1150</v>
      </c>
      <c r="L271" s="125" t="s">
        <v>552</v>
      </c>
      <c r="M271" s="125"/>
      <c r="N271" s="168">
        <f t="shared" si="3"/>
        <v>1447501.25</v>
      </c>
      <c r="O271" s="91">
        <v>41757</v>
      </c>
      <c r="P271" s="69"/>
      <c r="Q271" s="69"/>
      <c r="R271" s="69"/>
      <c r="S271" s="69"/>
      <c r="T271" s="69"/>
      <c r="U271" s="69"/>
      <c r="V271" s="69"/>
      <c r="W271" s="69"/>
    </row>
    <row r="272" spans="1:23" ht="33" customHeight="1" x14ac:dyDescent="0.25">
      <c r="A272" s="74">
        <v>859</v>
      </c>
      <c r="B272" s="75" t="s">
        <v>632</v>
      </c>
      <c r="C272" s="75">
        <v>2012</v>
      </c>
      <c r="D272" s="85" t="s">
        <v>46</v>
      </c>
      <c r="E272" s="75">
        <v>2014</v>
      </c>
      <c r="F272" s="75" t="s">
        <v>203</v>
      </c>
      <c r="G272" s="77">
        <v>8165</v>
      </c>
      <c r="H272" s="77" t="s">
        <v>634</v>
      </c>
      <c r="I272" s="78" t="s">
        <v>41</v>
      </c>
      <c r="J272" s="79">
        <v>238</v>
      </c>
      <c r="K272" s="124">
        <v>1151</v>
      </c>
      <c r="L272" s="125" t="s">
        <v>552</v>
      </c>
      <c r="M272" s="125"/>
      <c r="N272" s="168">
        <f t="shared" si="3"/>
        <v>1491337.25</v>
      </c>
      <c r="O272" s="91">
        <v>41757</v>
      </c>
      <c r="P272" s="69"/>
      <c r="Q272" s="69"/>
      <c r="R272" s="69"/>
      <c r="S272" s="69"/>
      <c r="T272" s="69"/>
      <c r="U272" s="69"/>
      <c r="V272" s="69"/>
      <c r="W272" s="69"/>
    </row>
    <row r="273" spans="1:23" s="72" customFormat="1" ht="31.2" customHeight="1" x14ac:dyDescent="0.25">
      <c r="A273" s="74"/>
      <c r="B273" s="75" t="s">
        <v>205</v>
      </c>
      <c r="C273" s="75">
        <v>2008</v>
      </c>
      <c r="D273" s="85" t="s">
        <v>46</v>
      </c>
      <c r="E273" s="75" t="s">
        <v>473</v>
      </c>
      <c r="F273" s="75" t="s">
        <v>203</v>
      </c>
      <c r="G273" s="77">
        <v>7912</v>
      </c>
      <c r="H273" s="77" t="s">
        <v>633</v>
      </c>
      <c r="I273" s="78" t="s">
        <v>41</v>
      </c>
      <c r="J273" s="79">
        <v>239</v>
      </c>
      <c r="K273" s="124">
        <v>1152</v>
      </c>
      <c r="L273" s="125" t="s">
        <v>552</v>
      </c>
      <c r="M273" s="125"/>
      <c r="N273" s="168">
        <f t="shared" si="3"/>
        <v>1445126.8</v>
      </c>
      <c r="O273" s="91">
        <v>41757</v>
      </c>
      <c r="P273" s="69"/>
      <c r="Q273" s="69"/>
      <c r="R273" s="69"/>
      <c r="S273" s="69"/>
      <c r="T273" s="69"/>
      <c r="U273" s="69"/>
      <c r="V273" s="69"/>
      <c r="W273" s="69"/>
    </row>
    <row r="274" spans="1:23" s="72" customFormat="1" ht="30.6" customHeight="1" x14ac:dyDescent="0.25">
      <c r="A274" s="74">
        <v>860</v>
      </c>
      <c r="B274" s="75" t="s">
        <v>635</v>
      </c>
      <c r="C274" s="75">
        <v>2009</v>
      </c>
      <c r="D274" s="85" t="s">
        <v>46</v>
      </c>
      <c r="E274" s="75">
        <v>2014</v>
      </c>
      <c r="F274" s="75" t="s">
        <v>203</v>
      </c>
      <c r="G274" s="77">
        <v>7925</v>
      </c>
      <c r="H274" s="77" t="s">
        <v>636</v>
      </c>
      <c r="I274" s="78" t="s">
        <v>41</v>
      </c>
      <c r="J274" s="79">
        <v>240</v>
      </c>
      <c r="K274" s="124">
        <v>1153</v>
      </c>
      <c r="L274" s="125" t="s">
        <v>552</v>
      </c>
      <c r="M274" s="125"/>
      <c r="N274" s="168">
        <f t="shared" si="3"/>
        <v>1447501.25</v>
      </c>
      <c r="O274" s="91">
        <v>41757</v>
      </c>
      <c r="P274" s="69"/>
      <c r="Q274" s="69"/>
      <c r="R274" s="69"/>
      <c r="S274" s="69"/>
      <c r="T274" s="69"/>
      <c r="U274" s="69"/>
      <c r="V274" s="69"/>
      <c r="W274" s="69"/>
    </row>
    <row r="275" spans="1:23" ht="30" customHeight="1" x14ac:dyDescent="0.25">
      <c r="A275" s="74">
        <v>861</v>
      </c>
      <c r="B275" s="75" t="s">
        <v>637</v>
      </c>
      <c r="C275" s="75">
        <v>2011</v>
      </c>
      <c r="D275" s="85" t="s">
        <v>46</v>
      </c>
      <c r="E275" s="75">
        <v>2014</v>
      </c>
      <c r="F275" s="82" t="s">
        <v>242</v>
      </c>
      <c r="G275" s="77">
        <v>5466.3</v>
      </c>
      <c r="H275" s="77" t="s">
        <v>1214</v>
      </c>
      <c r="I275" s="78" t="s">
        <v>41</v>
      </c>
      <c r="J275" s="79">
        <v>241</v>
      </c>
      <c r="K275" s="124">
        <v>1154</v>
      </c>
      <c r="L275" s="125" t="s">
        <v>552</v>
      </c>
      <c r="M275" s="125"/>
      <c r="N275" s="168">
        <f t="shared" si="3"/>
        <v>998419.69500000007</v>
      </c>
      <c r="O275" s="91">
        <v>41757</v>
      </c>
      <c r="P275" s="69"/>
      <c r="Q275" s="69"/>
      <c r="R275" s="69"/>
      <c r="S275" s="69"/>
      <c r="T275" s="69"/>
      <c r="U275" s="69"/>
      <c r="V275" s="69"/>
      <c r="W275" s="69"/>
    </row>
    <row r="276" spans="1:23" ht="86.4" customHeight="1" x14ac:dyDescent="0.25">
      <c r="A276" s="74"/>
      <c r="B276" s="75" t="s">
        <v>122</v>
      </c>
      <c r="C276" s="75">
        <v>2011</v>
      </c>
      <c r="D276" s="75" t="s">
        <v>123</v>
      </c>
      <c r="E276" s="75" t="s">
        <v>638</v>
      </c>
      <c r="F276" s="120" t="s">
        <v>423</v>
      </c>
      <c r="G276" s="77">
        <v>3900</v>
      </c>
      <c r="H276" s="77" t="s">
        <v>640</v>
      </c>
      <c r="I276" s="78" t="s">
        <v>429</v>
      </c>
      <c r="J276" s="79">
        <v>242</v>
      </c>
      <c r="K276" s="124">
        <v>1155</v>
      </c>
      <c r="L276" s="125" t="s">
        <v>552</v>
      </c>
      <c r="M276" s="125"/>
      <c r="N276" s="168">
        <f t="shared" si="3"/>
        <v>712335</v>
      </c>
      <c r="O276" s="91">
        <v>41757</v>
      </c>
      <c r="P276" s="69"/>
      <c r="Q276" s="69"/>
      <c r="R276" s="69"/>
      <c r="S276" s="69"/>
      <c r="T276" s="69"/>
      <c r="U276" s="69"/>
      <c r="V276" s="69"/>
      <c r="W276" s="69"/>
    </row>
    <row r="277" spans="1:23" s="72" customFormat="1" ht="30.6" customHeight="1" x14ac:dyDescent="0.25">
      <c r="A277" s="74"/>
      <c r="B277" s="75" t="s">
        <v>486</v>
      </c>
      <c r="C277" s="75">
        <v>2008</v>
      </c>
      <c r="D277" s="85" t="s">
        <v>46</v>
      </c>
      <c r="E277" s="75" t="s">
        <v>473</v>
      </c>
      <c r="F277" s="96" t="s">
        <v>534</v>
      </c>
      <c r="G277" s="77">
        <f>2000*M277/L277</f>
        <v>326.46557881435086</v>
      </c>
      <c r="H277" s="77" t="s">
        <v>641</v>
      </c>
      <c r="I277" s="78" t="s">
        <v>41</v>
      </c>
      <c r="J277" s="79">
        <v>243</v>
      </c>
      <c r="K277" s="124">
        <v>1156</v>
      </c>
      <c r="L277" s="125" t="s">
        <v>542</v>
      </c>
      <c r="M277" s="125" t="s">
        <v>642</v>
      </c>
      <c r="N277" s="168">
        <f>2000*M277</f>
        <v>59420</v>
      </c>
      <c r="O277" s="91">
        <v>41757</v>
      </c>
      <c r="P277" s="69"/>
      <c r="Q277" s="69"/>
      <c r="R277" s="69"/>
      <c r="S277" s="69"/>
      <c r="T277" s="69"/>
      <c r="U277" s="69"/>
      <c r="V277" s="69"/>
      <c r="W277" s="69"/>
    </row>
    <row r="278" spans="1:23" s="72" customFormat="1" ht="42" customHeight="1" x14ac:dyDescent="0.25">
      <c r="A278" s="74"/>
      <c r="B278" s="75" t="s">
        <v>150</v>
      </c>
      <c r="C278" s="75">
        <v>2009</v>
      </c>
      <c r="D278" s="75" t="s">
        <v>406</v>
      </c>
      <c r="E278" s="75" t="s">
        <v>466</v>
      </c>
      <c r="F278" s="120" t="s">
        <v>97</v>
      </c>
      <c r="G278" s="77">
        <f>N278/L278</f>
        <v>2112.3540270299964</v>
      </c>
      <c r="H278" s="77" t="s">
        <v>1303</v>
      </c>
      <c r="I278" s="78" t="s">
        <v>429</v>
      </c>
      <c r="J278" s="79">
        <v>244</v>
      </c>
      <c r="K278" s="124">
        <v>1157</v>
      </c>
      <c r="L278" s="125" t="s">
        <v>476</v>
      </c>
      <c r="M278" s="125" t="s">
        <v>629</v>
      </c>
      <c r="N278" s="168">
        <f>74760*M278</f>
        <v>384490.68</v>
      </c>
      <c r="O278" s="91">
        <v>41758</v>
      </c>
      <c r="P278" s="69"/>
      <c r="Q278" s="69"/>
      <c r="R278" s="69"/>
      <c r="S278" s="69"/>
      <c r="T278" s="69"/>
      <c r="U278" s="69"/>
      <c r="V278" s="69"/>
      <c r="W278" s="69"/>
    </row>
    <row r="279" spans="1:23" s="72" customFormat="1" ht="30.6" customHeight="1" x14ac:dyDescent="0.25">
      <c r="A279" s="74">
        <v>862</v>
      </c>
      <c r="B279" s="75" t="s">
        <v>643</v>
      </c>
      <c r="C279" s="75">
        <v>2007</v>
      </c>
      <c r="D279" s="85" t="s">
        <v>46</v>
      </c>
      <c r="E279" s="75">
        <v>2014</v>
      </c>
      <c r="F279" s="120" t="s">
        <v>257</v>
      </c>
      <c r="G279" s="77">
        <v>7988</v>
      </c>
      <c r="H279" s="77" t="s">
        <v>644</v>
      </c>
      <c r="I279" s="78" t="s">
        <v>41</v>
      </c>
      <c r="J279" s="79">
        <v>245</v>
      </c>
      <c r="K279" s="124">
        <v>1158</v>
      </c>
      <c r="L279" s="125" t="s">
        <v>552</v>
      </c>
      <c r="M279" s="125"/>
      <c r="N279" s="168">
        <f>G279*L279</f>
        <v>1459008.2</v>
      </c>
      <c r="O279" s="91">
        <v>41758</v>
      </c>
      <c r="P279" s="69"/>
      <c r="Q279" s="69"/>
      <c r="R279" s="69"/>
      <c r="S279" s="69"/>
      <c r="T279" s="69"/>
      <c r="U279" s="69"/>
      <c r="V279" s="69"/>
      <c r="W279" s="69"/>
    </row>
    <row r="280" spans="1:23" s="72" customFormat="1" ht="31.2" customHeight="1" x14ac:dyDescent="0.25">
      <c r="A280" s="74">
        <v>863</v>
      </c>
      <c r="B280" s="75" t="s">
        <v>645</v>
      </c>
      <c r="C280" s="75">
        <v>2006</v>
      </c>
      <c r="D280" s="85" t="s">
        <v>46</v>
      </c>
      <c r="E280" s="75">
        <v>2014</v>
      </c>
      <c r="F280" s="75" t="s">
        <v>534</v>
      </c>
      <c r="G280" s="77">
        <f>38000*M280/L280</f>
        <v>6143.037627025542</v>
      </c>
      <c r="H280" s="77" t="s">
        <v>646</v>
      </c>
      <c r="I280" s="78" t="s">
        <v>41</v>
      </c>
      <c r="J280" s="79">
        <v>246</v>
      </c>
      <c r="K280" s="124">
        <v>1159</v>
      </c>
      <c r="L280" s="125" t="s">
        <v>487</v>
      </c>
      <c r="M280" s="125" t="s">
        <v>647</v>
      </c>
      <c r="N280" s="168">
        <f>38000*M280</f>
        <v>1118340</v>
      </c>
      <c r="O280" s="91">
        <v>41759</v>
      </c>
      <c r="P280" s="69"/>
      <c r="Q280" s="69"/>
      <c r="R280" s="69"/>
      <c r="S280" s="69"/>
      <c r="T280" s="69"/>
      <c r="U280" s="69"/>
      <c r="V280" s="69"/>
      <c r="W280" s="69"/>
    </row>
    <row r="281" spans="1:23" s="70" customFormat="1" ht="28.95" customHeight="1" x14ac:dyDescent="0.25">
      <c r="A281" s="74">
        <v>864</v>
      </c>
      <c r="B281" s="75" t="s">
        <v>648</v>
      </c>
      <c r="C281" s="75">
        <v>2010</v>
      </c>
      <c r="D281" s="85" t="s">
        <v>46</v>
      </c>
      <c r="E281" s="75">
        <v>2014</v>
      </c>
      <c r="F281" s="75" t="s">
        <v>534</v>
      </c>
      <c r="G281" s="77">
        <f>33615*M281/L281</f>
        <v>5434.1634166437789</v>
      </c>
      <c r="H281" s="77" t="s">
        <v>1279</v>
      </c>
      <c r="I281" s="78" t="s">
        <v>41</v>
      </c>
      <c r="J281" s="79">
        <v>247</v>
      </c>
      <c r="K281" s="124">
        <v>1160</v>
      </c>
      <c r="L281" s="125" t="s">
        <v>487</v>
      </c>
      <c r="M281" s="125" t="s">
        <v>647</v>
      </c>
      <c r="N281" s="168">
        <f>33615*M281</f>
        <v>989289.45</v>
      </c>
      <c r="O281" s="91">
        <v>41759</v>
      </c>
      <c r="P281" s="69"/>
      <c r="Q281" s="69"/>
      <c r="R281" s="69"/>
      <c r="S281" s="69"/>
      <c r="T281" s="69"/>
      <c r="U281" s="69"/>
      <c r="V281" s="69"/>
      <c r="W281" s="69"/>
    </row>
    <row r="282" spans="1:23" s="72" customFormat="1" ht="31.2" customHeight="1" x14ac:dyDescent="0.25">
      <c r="A282" s="74">
        <v>865</v>
      </c>
      <c r="B282" s="75" t="s">
        <v>649</v>
      </c>
      <c r="C282" s="75">
        <v>2007</v>
      </c>
      <c r="D282" s="85" t="s">
        <v>46</v>
      </c>
      <c r="E282" s="75">
        <v>2014</v>
      </c>
      <c r="F282" s="75" t="s">
        <v>534</v>
      </c>
      <c r="G282" s="77">
        <f>38000*M282/L282</f>
        <v>6143.037627025542</v>
      </c>
      <c r="H282" s="77" t="s">
        <v>646</v>
      </c>
      <c r="I282" s="78" t="s">
        <v>41</v>
      </c>
      <c r="J282" s="79">
        <v>248</v>
      </c>
      <c r="K282" s="124">
        <v>1161</v>
      </c>
      <c r="L282" s="125" t="s">
        <v>487</v>
      </c>
      <c r="M282" s="125" t="s">
        <v>647</v>
      </c>
      <c r="N282" s="168">
        <f>38000*M282</f>
        <v>1118340</v>
      </c>
      <c r="O282" s="91">
        <v>41759</v>
      </c>
      <c r="P282" s="69"/>
      <c r="Q282" s="69"/>
      <c r="R282" s="69"/>
      <c r="S282" s="69"/>
      <c r="T282" s="69"/>
      <c r="U282" s="69"/>
      <c r="V282" s="69"/>
      <c r="W282" s="69"/>
    </row>
    <row r="283" spans="1:23" ht="54.75" customHeight="1" x14ac:dyDescent="0.25">
      <c r="A283" s="74"/>
      <c r="B283" s="75" t="s">
        <v>650</v>
      </c>
      <c r="C283" s="75">
        <v>2010</v>
      </c>
      <c r="D283" s="85" t="s">
        <v>46</v>
      </c>
      <c r="E283" s="75">
        <v>2014</v>
      </c>
      <c r="F283" s="85" t="s">
        <v>651</v>
      </c>
      <c r="G283" s="77">
        <v>5465</v>
      </c>
      <c r="H283" s="77" t="s">
        <v>652</v>
      </c>
      <c r="I283" s="78" t="s">
        <v>41</v>
      </c>
      <c r="J283" s="79">
        <v>249</v>
      </c>
      <c r="K283" s="124">
        <v>1162</v>
      </c>
      <c r="L283" s="125" t="s">
        <v>552</v>
      </c>
      <c r="M283" s="125"/>
      <c r="N283" s="168">
        <f>G283*L283</f>
        <v>998182.25</v>
      </c>
      <c r="O283" s="91">
        <v>41759</v>
      </c>
      <c r="P283" s="69"/>
      <c r="Q283" s="69"/>
      <c r="R283" s="69"/>
      <c r="S283" s="69"/>
      <c r="T283" s="69"/>
      <c r="U283" s="69"/>
      <c r="V283" s="69"/>
      <c r="W283" s="69"/>
    </row>
    <row r="284" spans="1:23" ht="30" customHeight="1" x14ac:dyDescent="0.25">
      <c r="A284" s="74"/>
      <c r="B284" s="75" t="s">
        <v>75</v>
      </c>
      <c r="C284" s="75">
        <v>2005</v>
      </c>
      <c r="D284" s="85" t="s">
        <v>46</v>
      </c>
      <c r="E284" s="75" t="s">
        <v>524</v>
      </c>
      <c r="F284" s="75" t="s">
        <v>240</v>
      </c>
      <c r="G284" s="77">
        <v>5000</v>
      </c>
      <c r="H284" s="77" t="s">
        <v>273</v>
      </c>
      <c r="I284" s="78" t="s">
        <v>41</v>
      </c>
      <c r="J284" s="79">
        <v>250</v>
      </c>
      <c r="K284" s="124">
        <v>1163</v>
      </c>
      <c r="L284" s="125" t="s">
        <v>552</v>
      </c>
      <c r="M284" s="125"/>
      <c r="N284" s="168">
        <f>G284*L284</f>
        <v>913250</v>
      </c>
      <c r="O284" s="91">
        <v>41759</v>
      </c>
      <c r="P284" s="69"/>
      <c r="Q284" s="69"/>
      <c r="R284" s="69"/>
      <c r="S284" s="69"/>
      <c r="T284" s="69"/>
      <c r="U284" s="69"/>
      <c r="V284" s="69"/>
      <c r="W284" s="69"/>
    </row>
    <row r="285" spans="1:23" ht="33" customHeight="1" x14ac:dyDescent="0.25">
      <c r="A285" s="74">
        <v>866</v>
      </c>
      <c r="B285" s="75" t="s">
        <v>654</v>
      </c>
      <c r="C285" s="75">
        <v>2012</v>
      </c>
      <c r="D285" s="130" t="s">
        <v>653</v>
      </c>
      <c r="E285" s="75">
        <v>2014</v>
      </c>
      <c r="F285" s="75" t="s">
        <v>240</v>
      </c>
      <c r="G285" s="77">
        <v>2633</v>
      </c>
      <c r="H285" s="77" t="s">
        <v>1233</v>
      </c>
      <c r="I285" s="78" t="s">
        <v>429</v>
      </c>
      <c r="J285" s="79">
        <v>251</v>
      </c>
      <c r="K285" s="124">
        <v>1164</v>
      </c>
      <c r="L285" s="125" t="s">
        <v>552</v>
      </c>
      <c r="M285" s="125"/>
      <c r="N285" s="168">
        <f>G285*L285</f>
        <v>480917.45</v>
      </c>
      <c r="O285" s="91">
        <v>41759</v>
      </c>
      <c r="P285" s="69"/>
      <c r="Q285" s="69"/>
      <c r="R285" s="69"/>
      <c r="S285" s="69"/>
      <c r="T285" s="69"/>
      <c r="U285" s="69"/>
      <c r="V285" s="69"/>
      <c r="W285" s="69"/>
    </row>
    <row r="286" spans="1:23" ht="30" customHeight="1" x14ac:dyDescent="0.25">
      <c r="A286" s="74">
        <v>867</v>
      </c>
      <c r="B286" s="75" t="s">
        <v>655</v>
      </c>
      <c r="C286" s="75">
        <v>2013</v>
      </c>
      <c r="D286" s="85" t="s">
        <v>656</v>
      </c>
      <c r="E286" s="75">
        <v>2014</v>
      </c>
      <c r="F286" s="75" t="s">
        <v>240</v>
      </c>
      <c r="G286" s="77">
        <v>5000</v>
      </c>
      <c r="H286" s="77" t="s">
        <v>273</v>
      </c>
      <c r="I286" s="78" t="s">
        <v>429</v>
      </c>
      <c r="J286" s="79">
        <v>252</v>
      </c>
      <c r="K286" s="124">
        <v>1165</v>
      </c>
      <c r="L286" s="125" t="s">
        <v>552</v>
      </c>
      <c r="M286" s="125"/>
      <c r="N286" s="168">
        <f>G286*L286</f>
        <v>913250</v>
      </c>
      <c r="O286" s="91">
        <v>41759</v>
      </c>
      <c r="P286" s="69"/>
      <c r="Q286" s="69"/>
      <c r="R286" s="69"/>
      <c r="S286" s="69"/>
      <c r="T286" s="69"/>
      <c r="U286" s="69"/>
      <c r="V286" s="69"/>
      <c r="W286" s="69"/>
    </row>
    <row r="287" spans="1:23" s="72" customFormat="1" ht="31.2" customHeight="1" x14ac:dyDescent="0.25">
      <c r="A287" s="74"/>
      <c r="B287" s="75" t="s">
        <v>186</v>
      </c>
      <c r="C287" s="75">
        <v>2007</v>
      </c>
      <c r="D287" s="85" t="s">
        <v>46</v>
      </c>
      <c r="E287" s="75" t="s">
        <v>665</v>
      </c>
      <c r="F287" s="93" t="s">
        <v>63</v>
      </c>
      <c r="G287" s="77">
        <f>350997/L287</f>
        <v>1927.9193672415686</v>
      </c>
      <c r="H287" s="77" t="s">
        <v>666</v>
      </c>
      <c r="I287" s="78" t="s">
        <v>41</v>
      </c>
      <c r="J287" s="79">
        <v>253</v>
      </c>
      <c r="K287" s="124">
        <v>1166</v>
      </c>
      <c r="L287" s="125" t="s">
        <v>448</v>
      </c>
      <c r="M287" s="125"/>
      <c r="N287" s="168">
        <v>350997</v>
      </c>
      <c r="O287" s="91">
        <v>41763</v>
      </c>
      <c r="P287" s="69"/>
      <c r="Q287" s="69"/>
      <c r="R287" s="69"/>
      <c r="S287" s="69"/>
      <c r="T287" s="69"/>
      <c r="U287" s="69"/>
      <c r="V287" s="69"/>
      <c r="W287" s="69"/>
    </row>
    <row r="288" spans="1:23" ht="31.2" customHeight="1" x14ac:dyDescent="0.25">
      <c r="A288" s="74"/>
      <c r="B288" s="75" t="s">
        <v>186</v>
      </c>
      <c r="C288" s="75">
        <v>2007</v>
      </c>
      <c r="D288" s="85" t="s">
        <v>46</v>
      </c>
      <c r="E288" s="75" t="s">
        <v>473</v>
      </c>
      <c r="F288" s="93" t="s">
        <v>63</v>
      </c>
      <c r="G288" s="77">
        <f>N288/L288</f>
        <v>1915.7255849719872</v>
      </c>
      <c r="H288" s="77" t="s">
        <v>1247</v>
      </c>
      <c r="I288" s="78" t="s">
        <v>41</v>
      </c>
      <c r="J288" s="79">
        <v>254</v>
      </c>
      <c r="K288" s="124">
        <v>1167</v>
      </c>
      <c r="L288" s="125" t="s">
        <v>448</v>
      </c>
      <c r="M288" s="125"/>
      <c r="N288" s="168">
        <v>348777</v>
      </c>
      <c r="O288" s="91">
        <v>41763</v>
      </c>
      <c r="P288" s="69"/>
      <c r="Q288" s="69"/>
      <c r="R288" s="69"/>
      <c r="S288" s="69"/>
      <c r="T288" s="69"/>
      <c r="U288" s="69"/>
      <c r="V288" s="69"/>
      <c r="W288" s="69"/>
    </row>
    <row r="289" spans="1:23" s="72" customFormat="1" ht="31.2" customHeight="1" x14ac:dyDescent="0.25">
      <c r="A289" s="74">
        <v>868</v>
      </c>
      <c r="B289" s="75" t="s">
        <v>657</v>
      </c>
      <c r="C289" s="75">
        <v>2007</v>
      </c>
      <c r="D289" s="85" t="s">
        <v>46</v>
      </c>
      <c r="E289" s="75">
        <v>2014</v>
      </c>
      <c r="F289" s="75" t="s">
        <v>203</v>
      </c>
      <c r="G289" s="77">
        <v>7981</v>
      </c>
      <c r="H289" s="77" t="s">
        <v>658</v>
      </c>
      <c r="I289" s="78" t="s">
        <v>41</v>
      </c>
      <c r="J289" s="79">
        <v>255</v>
      </c>
      <c r="K289" s="124">
        <v>1168</v>
      </c>
      <c r="L289" s="125" t="s">
        <v>552</v>
      </c>
      <c r="M289" s="125"/>
      <c r="N289" s="168">
        <f>G289*L289</f>
        <v>1457729.6500000001</v>
      </c>
      <c r="O289" s="91">
        <v>41764</v>
      </c>
      <c r="P289" s="69"/>
      <c r="Q289" s="69"/>
      <c r="R289" s="69"/>
      <c r="S289" s="69"/>
      <c r="T289" s="69"/>
      <c r="U289" s="69"/>
      <c r="V289" s="69"/>
      <c r="W289" s="69"/>
    </row>
    <row r="290" spans="1:23" ht="33" customHeight="1" x14ac:dyDescent="0.25">
      <c r="A290" s="74">
        <v>869</v>
      </c>
      <c r="B290" s="75" t="s">
        <v>659</v>
      </c>
      <c r="C290" s="75">
        <v>2005</v>
      </c>
      <c r="D290" s="85" t="s">
        <v>46</v>
      </c>
      <c r="E290" s="75">
        <v>2014</v>
      </c>
      <c r="F290" s="75" t="s">
        <v>203</v>
      </c>
      <c r="G290" s="77">
        <v>7925</v>
      </c>
      <c r="H290" s="77" t="s">
        <v>636</v>
      </c>
      <c r="I290" s="78" t="s">
        <v>41</v>
      </c>
      <c r="J290" s="79">
        <v>256</v>
      </c>
      <c r="K290" s="124">
        <v>1169</v>
      </c>
      <c r="L290" s="125" t="s">
        <v>552</v>
      </c>
      <c r="M290" s="125"/>
      <c r="N290" s="168">
        <f>G290*L290</f>
        <v>1447501.25</v>
      </c>
      <c r="O290" s="91">
        <v>41764</v>
      </c>
      <c r="P290" s="69"/>
      <c r="Q290" s="69"/>
      <c r="R290" s="69"/>
      <c r="S290" s="69"/>
      <c r="T290" s="69"/>
      <c r="U290" s="69"/>
      <c r="V290" s="69"/>
      <c r="W290" s="69"/>
    </row>
    <row r="291" spans="1:23" ht="30" customHeight="1" x14ac:dyDescent="0.25">
      <c r="A291" s="74">
        <v>870</v>
      </c>
      <c r="B291" s="75" t="s">
        <v>660</v>
      </c>
      <c r="C291" s="75">
        <v>2006</v>
      </c>
      <c r="D291" s="85" t="s">
        <v>46</v>
      </c>
      <c r="E291" s="75">
        <v>2014</v>
      </c>
      <c r="F291" s="75" t="s">
        <v>203</v>
      </c>
      <c r="G291" s="77">
        <v>7925</v>
      </c>
      <c r="H291" s="77" t="s">
        <v>636</v>
      </c>
      <c r="I291" s="78" t="s">
        <v>41</v>
      </c>
      <c r="J291" s="79">
        <v>257</v>
      </c>
      <c r="K291" s="124">
        <v>1170</v>
      </c>
      <c r="L291" s="125" t="s">
        <v>552</v>
      </c>
      <c r="M291" s="125"/>
      <c r="N291" s="168">
        <f>G291*L291</f>
        <v>1447501.25</v>
      </c>
      <c r="O291" s="91">
        <v>41764</v>
      </c>
      <c r="P291" s="69"/>
      <c r="Q291" s="69"/>
      <c r="R291" s="69"/>
      <c r="S291" s="69"/>
      <c r="T291" s="69"/>
      <c r="U291" s="69"/>
      <c r="V291" s="69"/>
      <c r="W291" s="69"/>
    </row>
    <row r="292" spans="1:23" s="72" customFormat="1" ht="32.4" customHeight="1" x14ac:dyDescent="0.25">
      <c r="A292" s="74"/>
      <c r="B292" s="75" t="s">
        <v>376</v>
      </c>
      <c r="C292" s="75">
        <v>2007</v>
      </c>
      <c r="D292" s="85" t="s">
        <v>46</v>
      </c>
      <c r="E292" s="75" t="s">
        <v>473</v>
      </c>
      <c r="F292" s="75" t="s">
        <v>245</v>
      </c>
      <c r="G292" s="77">
        <f>121700*M292/L292</f>
        <v>3427.867735911238</v>
      </c>
      <c r="H292" s="77" t="s">
        <v>661</v>
      </c>
      <c r="I292" s="78" t="s">
        <v>41</v>
      </c>
      <c r="J292" s="79">
        <v>258</v>
      </c>
      <c r="K292" s="124">
        <v>1171</v>
      </c>
      <c r="L292" s="125" t="s">
        <v>448</v>
      </c>
      <c r="M292" s="125" t="s">
        <v>662</v>
      </c>
      <c r="N292" s="168">
        <f>121700*M292</f>
        <v>624077.6</v>
      </c>
      <c r="O292" s="91">
        <v>41764</v>
      </c>
      <c r="P292" s="69"/>
      <c r="Q292" s="69"/>
      <c r="R292" s="69"/>
      <c r="S292" s="69"/>
      <c r="T292" s="69"/>
      <c r="U292" s="69"/>
      <c r="V292" s="69"/>
      <c r="W292" s="69"/>
    </row>
    <row r="293" spans="1:23" s="72" customFormat="1" ht="34.200000000000003" customHeight="1" x14ac:dyDescent="0.25">
      <c r="A293" s="74">
        <v>871</v>
      </c>
      <c r="B293" s="75" t="s">
        <v>663</v>
      </c>
      <c r="C293" s="75">
        <v>2011</v>
      </c>
      <c r="D293" s="85" t="s">
        <v>46</v>
      </c>
      <c r="E293" s="75">
        <v>2014</v>
      </c>
      <c r="F293" s="75" t="s">
        <v>534</v>
      </c>
      <c r="G293" s="77">
        <f>38000*M293/L293</f>
        <v>6148.9618806986709</v>
      </c>
      <c r="H293" s="77" t="s">
        <v>646</v>
      </c>
      <c r="I293" s="78" t="s">
        <v>41</v>
      </c>
      <c r="J293" s="79">
        <v>259</v>
      </c>
      <c r="K293" s="124">
        <v>1172</v>
      </c>
      <c r="L293" s="125" t="s">
        <v>448</v>
      </c>
      <c r="M293" s="125" t="s">
        <v>664</v>
      </c>
      <c r="N293" s="168">
        <f>38000*M293</f>
        <v>1119480</v>
      </c>
      <c r="O293" s="91">
        <v>41764</v>
      </c>
      <c r="P293" s="69"/>
      <c r="Q293" s="69"/>
      <c r="R293" s="69"/>
      <c r="S293" s="69"/>
      <c r="T293" s="69"/>
      <c r="U293" s="69"/>
      <c r="V293" s="69"/>
      <c r="W293" s="69"/>
    </row>
    <row r="294" spans="1:23" s="72" customFormat="1" ht="32.4" customHeight="1" x14ac:dyDescent="0.25">
      <c r="A294" s="74">
        <v>872</v>
      </c>
      <c r="B294" s="75" t="s">
        <v>672</v>
      </c>
      <c r="C294" s="75">
        <v>2008</v>
      </c>
      <c r="D294" s="85" t="s">
        <v>46</v>
      </c>
      <c r="E294" s="75">
        <v>2014</v>
      </c>
      <c r="F294" s="75" t="s">
        <v>245</v>
      </c>
      <c r="G294" s="77">
        <f>107600*M294/L294</f>
        <v>3031.3855620261511</v>
      </c>
      <c r="H294" s="77" t="s">
        <v>673</v>
      </c>
      <c r="I294" s="78" t="s">
        <v>41</v>
      </c>
      <c r="J294" s="79">
        <v>260</v>
      </c>
      <c r="K294" s="124">
        <v>1173</v>
      </c>
      <c r="L294" s="125" t="s">
        <v>476</v>
      </c>
      <c r="M294" s="125" t="s">
        <v>662</v>
      </c>
      <c r="N294" s="168">
        <f>107600*M294</f>
        <v>551772.80000000005</v>
      </c>
      <c r="O294" s="91">
        <v>41764</v>
      </c>
      <c r="P294" s="69"/>
      <c r="Q294" s="69"/>
      <c r="R294" s="69"/>
      <c r="S294" s="69"/>
      <c r="T294" s="69"/>
      <c r="U294" s="69"/>
      <c r="V294" s="69"/>
      <c r="W294" s="69"/>
    </row>
    <row r="295" spans="1:23" ht="42" customHeight="1" x14ac:dyDescent="0.25">
      <c r="A295" s="74">
        <v>873</v>
      </c>
      <c r="B295" s="75" t="s">
        <v>674</v>
      </c>
      <c r="C295" s="75">
        <v>2010</v>
      </c>
      <c r="D295" s="85" t="s">
        <v>46</v>
      </c>
      <c r="E295" s="75">
        <v>2014</v>
      </c>
      <c r="F295" s="85" t="s">
        <v>266</v>
      </c>
      <c r="G295" s="77">
        <f>151900*M295/L295</f>
        <v>4279.4374244588507</v>
      </c>
      <c r="H295" s="77" t="s">
        <v>675</v>
      </c>
      <c r="I295" s="78" t="s">
        <v>41</v>
      </c>
      <c r="J295" s="79">
        <v>261</v>
      </c>
      <c r="K295" s="124">
        <v>1174</v>
      </c>
      <c r="L295" s="125" t="s">
        <v>476</v>
      </c>
      <c r="M295" s="125" t="s">
        <v>662</v>
      </c>
      <c r="N295" s="168">
        <f>151900*M295</f>
        <v>778943.20000000007</v>
      </c>
      <c r="O295" s="91">
        <v>41764</v>
      </c>
      <c r="P295" s="69"/>
      <c r="Q295" s="69"/>
      <c r="R295" s="69"/>
      <c r="S295" s="69"/>
      <c r="T295" s="69"/>
      <c r="U295" s="69"/>
      <c r="V295" s="69"/>
      <c r="W295" s="69"/>
    </row>
    <row r="296" spans="1:23" ht="42" customHeight="1" x14ac:dyDescent="0.25">
      <c r="A296" s="74"/>
      <c r="B296" s="75" t="s">
        <v>136</v>
      </c>
      <c r="C296" s="75">
        <v>2009</v>
      </c>
      <c r="D296" s="85" t="s">
        <v>46</v>
      </c>
      <c r="E296" s="75" t="s">
        <v>473</v>
      </c>
      <c r="F296" s="85" t="s">
        <v>266</v>
      </c>
      <c r="G296" s="77">
        <f>160100*M296/L296</f>
        <v>4510.4537962861223</v>
      </c>
      <c r="H296" s="77" t="s">
        <v>676</v>
      </c>
      <c r="I296" s="78" t="s">
        <v>41</v>
      </c>
      <c r="J296" s="79">
        <v>262</v>
      </c>
      <c r="K296" s="124">
        <v>1175</v>
      </c>
      <c r="L296" s="125" t="s">
        <v>476</v>
      </c>
      <c r="M296" s="125" t="s">
        <v>662</v>
      </c>
      <c r="N296" s="168">
        <f>160100*M296</f>
        <v>820992.8</v>
      </c>
      <c r="O296" s="91">
        <v>41764</v>
      </c>
      <c r="P296" s="69"/>
      <c r="Q296" s="69"/>
      <c r="R296" s="69"/>
      <c r="S296" s="69"/>
      <c r="T296" s="69"/>
      <c r="U296" s="69"/>
      <c r="V296" s="69"/>
      <c r="W296" s="69"/>
    </row>
    <row r="297" spans="1:23" ht="66.75" customHeight="1" x14ac:dyDescent="0.25">
      <c r="A297" s="74">
        <v>874</v>
      </c>
      <c r="B297" s="75" t="s">
        <v>677</v>
      </c>
      <c r="C297" s="75">
        <v>2011</v>
      </c>
      <c r="D297" s="85" t="s">
        <v>28</v>
      </c>
      <c r="E297" s="75">
        <v>2014</v>
      </c>
      <c r="F297" s="93" t="s">
        <v>24</v>
      </c>
      <c r="G297" s="77">
        <f>237877.2*M297/L297</f>
        <v>6721.2528271618494</v>
      </c>
      <c r="H297" s="77" t="s">
        <v>678</v>
      </c>
      <c r="I297" s="78" t="s">
        <v>720</v>
      </c>
      <c r="J297" s="79">
        <v>263</v>
      </c>
      <c r="K297" s="124">
        <v>1176</v>
      </c>
      <c r="L297" s="125" t="s">
        <v>476</v>
      </c>
      <c r="M297" s="125" t="s">
        <v>629</v>
      </c>
      <c r="N297" s="168">
        <f>237877.2*M297</f>
        <v>1223402.4395999999</v>
      </c>
      <c r="O297" s="91">
        <v>41765</v>
      </c>
      <c r="P297" s="69"/>
      <c r="Q297" s="69"/>
      <c r="R297" s="69"/>
      <c r="S297" s="69"/>
      <c r="T297" s="69"/>
      <c r="U297" s="69"/>
      <c r="V297" s="69"/>
      <c r="W297" s="69"/>
    </row>
    <row r="298" spans="1:23" ht="42" customHeight="1" x14ac:dyDescent="0.25">
      <c r="A298" s="74"/>
      <c r="B298" s="75" t="s">
        <v>67</v>
      </c>
      <c r="C298" s="75">
        <v>2009</v>
      </c>
      <c r="D298" s="85" t="s">
        <v>46</v>
      </c>
      <c r="E298" s="75" t="s">
        <v>524</v>
      </c>
      <c r="F298" s="75" t="s">
        <v>679</v>
      </c>
      <c r="G298" s="77">
        <f>21000*M298/L298</f>
        <v>593.35787276123494</v>
      </c>
      <c r="H298" s="77" t="s">
        <v>680</v>
      </c>
      <c r="I298" s="78" t="s">
        <v>41</v>
      </c>
      <c r="J298" s="79">
        <v>264</v>
      </c>
      <c r="K298" s="124">
        <v>1177</v>
      </c>
      <c r="L298" s="125" t="s">
        <v>476</v>
      </c>
      <c r="M298" s="125" t="s">
        <v>629</v>
      </c>
      <c r="N298" s="168">
        <f>21000*M298</f>
        <v>108003</v>
      </c>
      <c r="O298" s="91">
        <v>41765</v>
      </c>
      <c r="P298" s="69"/>
      <c r="Q298" s="69"/>
      <c r="R298" s="69"/>
      <c r="S298" s="69"/>
      <c r="T298" s="69"/>
      <c r="U298" s="69"/>
      <c r="V298" s="69"/>
      <c r="W298" s="69"/>
    </row>
    <row r="299" spans="1:23" ht="29.4" customHeight="1" x14ac:dyDescent="0.25">
      <c r="A299" s="74">
        <v>875</v>
      </c>
      <c r="B299" s="75" t="s">
        <v>681</v>
      </c>
      <c r="C299" s="75">
        <v>2012</v>
      </c>
      <c r="D299" s="85" t="s">
        <v>46</v>
      </c>
      <c r="E299" s="75">
        <v>2014</v>
      </c>
      <c r="F299" s="75" t="s">
        <v>682</v>
      </c>
      <c r="G299" s="77">
        <f>201710*M299/L299</f>
        <v>5699.3436435556523</v>
      </c>
      <c r="H299" s="77" t="s">
        <v>508</v>
      </c>
      <c r="I299" s="78" t="s">
        <v>41</v>
      </c>
      <c r="J299" s="79">
        <v>265</v>
      </c>
      <c r="K299" s="124">
        <v>1178</v>
      </c>
      <c r="L299" s="125" t="s">
        <v>476</v>
      </c>
      <c r="M299" s="125" t="s">
        <v>629</v>
      </c>
      <c r="N299" s="168">
        <f>201710*M299</f>
        <v>1037394.5299999999</v>
      </c>
      <c r="O299" s="91">
        <v>41765</v>
      </c>
      <c r="P299" s="69"/>
      <c r="Q299" s="69"/>
      <c r="R299" s="69"/>
      <c r="S299" s="69"/>
      <c r="T299" s="69"/>
      <c r="U299" s="69"/>
      <c r="V299" s="69"/>
      <c r="W299" s="69"/>
    </row>
    <row r="300" spans="1:23" ht="30.6" customHeight="1" x14ac:dyDescent="0.25">
      <c r="A300" s="74">
        <v>876</v>
      </c>
      <c r="B300" s="75" t="s">
        <v>683</v>
      </c>
      <c r="C300" s="75">
        <v>2009</v>
      </c>
      <c r="D300" s="85" t="s">
        <v>46</v>
      </c>
      <c r="E300" s="75">
        <v>2014</v>
      </c>
      <c r="F300" s="75" t="s">
        <v>682</v>
      </c>
      <c r="G300" s="77">
        <f>201710*M300/L300</f>
        <v>5699.3436435556523</v>
      </c>
      <c r="H300" s="77" t="s">
        <v>508</v>
      </c>
      <c r="I300" s="78" t="s">
        <v>41</v>
      </c>
      <c r="J300" s="79">
        <v>266</v>
      </c>
      <c r="K300" s="124">
        <v>1179</v>
      </c>
      <c r="L300" s="125" t="s">
        <v>476</v>
      </c>
      <c r="M300" s="125" t="s">
        <v>629</v>
      </c>
      <c r="N300" s="168">
        <f>201710*M300</f>
        <v>1037394.5299999999</v>
      </c>
      <c r="O300" s="91">
        <v>41765</v>
      </c>
      <c r="P300" s="69"/>
      <c r="Q300" s="69"/>
      <c r="R300" s="69"/>
      <c r="S300" s="69"/>
      <c r="T300" s="69"/>
      <c r="U300" s="69"/>
      <c r="V300" s="69"/>
      <c r="W300" s="69"/>
    </row>
    <row r="301" spans="1:23" ht="28.5" customHeight="1" x14ac:dyDescent="0.25">
      <c r="A301" s="74"/>
      <c r="B301" s="75" t="s">
        <v>210</v>
      </c>
      <c r="C301" s="75">
        <v>2009</v>
      </c>
      <c r="D301" s="85" t="s">
        <v>46</v>
      </c>
      <c r="E301" s="75" t="s">
        <v>473</v>
      </c>
      <c r="F301" s="75" t="s">
        <v>63</v>
      </c>
      <c r="G301" s="77">
        <f>315291/L301</f>
        <v>1732.1777826612458</v>
      </c>
      <c r="H301" s="77" t="s">
        <v>684</v>
      </c>
      <c r="I301" s="78" t="s">
        <v>41</v>
      </c>
      <c r="J301" s="79">
        <v>267</v>
      </c>
      <c r="K301" s="124">
        <v>1180</v>
      </c>
      <c r="L301" s="125" t="s">
        <v>476</v>
      </c>
      <c r="M301" s="125"/>
      <c r="N301" s="168">
        <v>315291</v>
      </c>
      <c r="O301" s="91">
        <v>41765</v>
      </c>
      <c r="P301" s="69"/>
      <c r="Q301" s="69"/>
      <c r="R301" s="69"/>
      <c r="S301" s="69"/>
      <c r="T301" s="69"/>
      <c r="U301" s="69"/>
      <c r="V301" s="69"/>
      <c r="W301" s="69"/>
    </row>
    <row r="302" spans="1:23" ht="28.5" customHeight="1" x14ac:dyDescent="0.25">
      <c r="A302" s="74"/>
      <c r="B302" s="75" t="s">
        <v>493</v>
      </c>
      <c r="C302" s="75">
        <v>2012</v>
      </c>
      <c r="D302" s="85" t="s">
        <v>46</v>
      </c>
      <c r="E302" s="75" t="s">
        <v>473</v>
      </c>
      <c r="F302" s="75" t="s">
        <v>63</v>
      </c>
      <c r="G302" s="77">
        <f>307447/L302</f>
        <v>1689.0836171849246</v>
      </c>
      <c r="H302" s="77" t="s">
        <v>685</v>
      </c>
      <c r="I302" s="78" t="s">
        <v>41</v>
      </c>
      <c r="J302" s="79">
        <v>268</v>
      </c>
      <c r="K302" s="124">
        <v>1181</v>
      </c>
      <c r="L302" s="125" t="s">
        <v>476</v>
      </c>
      <c r="M302" s="125"/>
      <c r="N302" s="168">
        <v>307447</v>
      </c>
      <c r="O302" s="91">
        <v>41765</v>
      </c>
      <c r="P302" s="69"/>
      <c r="Q302" s="69"/>
      <c r="R302" s="69"/>
      <c r="S302" s="69"/>
      <c r="T302" s="69"/>
      <c r="U302" s="69"/>
      <c r="V302" s="69"/>
      <c r="W302" s="69"/>
    </row>
    <row r="303" spans="1:23" ht="28.95" customHeight="1" x14ac:dyDescent="0.25">
      <c r="A303" s="74">
        <v>877</v>
      </c>
      <c r="B303" s="75" t="s">
        <v>686</v>
      </c>
      <c r="C303" s="75">
        <v>2010</v>
      </c>
      <c r="D303" s="85" t="s">
        <v>46</v>
      </c>
      <c r="E303" s="75">
        <v>2014</v>
      </c>
      <c r="F303" s="82" t="s">
        <v>242</v>
      </c>
      <c r="G303" s="77">
        <v>8038.8</v>
      </c>
      <c r="H303" s="77" t="s">
        <v>1212</v>
      </c>
      <c r="I303" s="78" t="s">
        <v>41</v>
      </c>
      <c r="J303" s="79">
        <v>269</v>
      </c>
      <c r="K303" s="124">
        <v>1182</v>
      </c>
      <c r="L303" s="125" t="s">
        <v>687</v>
      </c>
      <c r="M303" s="125"/>
      <c r="N303" s="168">
        <f>G303*L303</f>
        <v>1469090.7</v>
      </c>
      <c r="O303" s="91">
        <v>41771</v>
      </c>
      <c r="P303" s="69"/>
      <c r="Q303" s="69"/>
      <c r="R303" s="69"/>
      <c r="S303" s="69"/>
      <c r="T303" s="69"/>
      <c r="U303" s="69"/>
      <c r="V303" s="69"/>
      <c r="W303" s="69"/>
    </row>
    <row r="304" spans="1:23" s="72" customFormat="1" ht="30.75" customHeight="1" x14ac:dyDescent="0.25">
      <c r="A304" s="74">
        <v>878</v>
      </c>
      <c r="B304" s="75" t="s">
        <v>688</v>
      </c>
      <c r="C304" s="75">
        <v>2008</v>
      </c>
      <c r="D304" s="85" t="s">
        <v>46</v>
      </c>
      <c r="E304" s="75">
        <v>2014</v>
      </c>
      <c r="F304" s="75" t="s">
        <v>534</v>
      </c>
      <c r="G304" s="77">
        <f>38000*M304/L304</f>
        <v>6160.8652684748004</v>
      </c>
      <c r="H304" s="77" t="s">
        <v>646</v>
      </c>
      <c r="I304" s="78" t="s">
        <v>41</v>
      </c>
      <c r="J304" s="79">
        <v>270</v>
      </c>
      <c r="K304" s="124">
        <v>1183</v>
      </c>
      <c r="L304" s="125" t="s">
        <v>689</v>
      </c>
      <c r="M304" s="125" t="s">
        <v>690</v>
      </c>
      <c r="N304" s="168">
        <f>38000*M304</f>
        <v>1122140</v>
      </c>
      <c r="O304" s="91">
        <v>41771</v>
      </c>
      <c r="P304" s="69"/>
      <c r="Q304" s="69"/>
      <c r="R304" s="69"/>
      <c r="S304" s="69"/>
      <c r="T304" s="69"/>
      <c r="U304" s="69"/>
      <c r="V304" s="69"/>
      <c r="W304" s="69"/>
    </row>
    <row r="305" spans="1:23" ht="30" customHeight="1" x14ac:dyDescent="0.25">
      <c r="A305" s="74">
        <v>879</v>
      </c>
      <c r="B305" s="75" t="s">
        <v>691</v>
      </c>
      <c r="C305" s="75">
        <v>2005</v>
      </c>
      <c r="D305" s="85" t="s">
        <v>46</v>
      </c>
      <c r="E305" s="75">
        <v>2014</v>
      </c>
      <c r="F305" s="82" t="s">
        <v>242</v>
      </c>
      <c r="G305" s="77">
        <v>7443</v>
      </c>
      <c r="H305" s="77" t="s">
        <v>1211</v>
      </c>
      <c r="I305" s="78" t="s">
        <v>41</v>
      </c>
      <c r="J305" s="79">
        <v>271</v>
      </c>
      <c r="K305" s="124">
        <v>1184</v>
      </c>
      <c r="L305" s="125" t="s">
        <v>689</v>
      </c>
      <c r="M305" s="125"/>
      <c r="N305" s="168">
        <f>G305*L305</f>
        <v>1355668.0199999998</v>
      </c>
      <c r="O305" s="91">
        <v>41771</v>
      </c>
      <c r="P305" s="69"/>
      <c r="Q305" s="69"/>
      <c r="R305" s="69"/>
      <c r="S305" s="69"/>
      <c r="T305" s="69"/>
      <c r="U305" s="69"/>
      <c r="V305" s="69"/>
      <c r="W305" s="69"/>
    </row>
    <row r="306" spans="1:23" ht="28.95" customHeight="1" x14ac:dyDescent="0.25">
      <c r="A306" s="74">
        <v>880</v>
      </c>
      <c r="B306" s="75" t="s">
        <v>692</v>
      </c>
      <c r="C306" s="75">
        <v>2009</v>
      </c>
      <c r="D306" s="85" t="s">
        <v>46</v>
      </c>
      <c r="E306" s="75">
        <v>2014</v>
      </c>
      <c r="F306" s="82" t="s">
        <v>242</v>
      </c>
      <c r="G306" s="77">
        <v>4920</v>
      </c>
      <c r="H306" s="77" t="s">
        <v>1209</v>
      </c>
      <c r="I306" s="78" t="s">
        <v>41</v>
      </c>
      <c r="J306" s="79">
        <v>272</v>
      </c>
      <c r="K306" s="124">
        <v>1185</v>
      </c>
      <c r="L306" s="125" t="s">
        <v>689</v>
      </c>
      <c r="M306" s="125"/>
      <c r="N306" s="168">
        <f>G306*L306</f>
        <v>896128.79999999993</v>
      </c>
      <c r="O306" s="91">
        <v>41771</v>
      </c>
      <c r="P306" s="69"/>
      <c r="Q306" s="69"/>
      <c r="R306" s="69"/>
      <c r="S306" s="69"/>
      <c r="T306" s="69"/>
      <c r="U306" s="69"/>
      <c r="V306" s="69"/>
      <c r="W306" s="69"/>
    </row>
    <row r="307" spans="1:23" ht="30" customHeight="1" x14ac:dyDescent="0.25">
      <c r="A307" s="74">
        <v>881</v>
      </c>
      <c r="B307" s="75" t="s">
        <v>693</v>
      </c>
      <c r="C307" s="75">
        <v>2009</v>
      </c>
      <c r="D307" s="85" t="s">
        <v>46</v>
      </c>
      <c r="E307" s="75">
        <v>2014</v>
      </c>
      <c r="F307" s="82" t="s">
        <v>242</v>
      </c>
      <c r="G307" s="77">
        <v>7593</v>
      </c>
      <c r="H307" s="77" t="s">
        <v>1210</v>
      </c>
      <c r="I307" s="78" t="s">
        <v>41</v>
      </c>
      <c r="J307" s="79">
        <v>273</v>
      </c>
      <c r="K307" s="124">
        <v>1186</v>
      </c>
      <c r="L307" s="125" t="s">
        <v>689</v>
      </c>
      <c r="M307" s="125"/>
      <c r="N307" s="168">
        <f>G307*L307</f>
        <v>1382989.0199999998</v>
      </c>
      <c r="O307" s="91">
        <v>41771</v>
      </c>
      <c r="P307" s="69"/>
      <c r="Q307" s="69"/>
      <c r="R307" s="69"/>
      <c r="S307" s="69"/>
      <c r="T307" s="69"/>
      <c r="U307" s="69"/>
      <c r="V307" s="69"/>
      <c r="W307" s="69"/>
    </row>
    <row r="308" spans="1:23" s="72" customFormat="1" ht="34.950000000000003" customHeight="1" x14ac:dyDescent="0.25">
      <c r="A308" s="74"/>
      <c r="B308" s="75" t="s">
        <v>195</v>
      </c>
      <c r="C308" s="75">
        <v>2011</v>
      </c>
      <c r="D308" s="85" t="s">
        <v>46</v>
      </c>
      <c r="E308" s="75" t="s">
        <v>473</v>
      </c>
      <c r="F308" s="165" t="s">
        <v>288</v>
      </c>
      <c r="G308" s="77">
        <f>2557*M308/L308</f>
        <v>3554.3058087185686</v>
      </c>
      <c r="H308" s="77" t="s">
        <v>1283</v>
      </c>
      <c r="I308" s="78" t="s">
        <v>41</v>
      </c>
      <c r="J308" s="79">
        <v>274</v>
      </c>
      <c r="K308" s="124">
        <v>1187</v>
      </c>
      <c r="L308" s="125" t="s">
        <v>689</v>
      </c>
      <c r="M308" s="125" t="s">
        <v>694</v>
      </c>
      <c r="N308" s="168">
        <f>2557*M308</f>
        <v>647381.26</v>
      </c>
      <c r="O308" s="91">
        <v>41771</v>
      </c>
      <c r="P308" s="69"/>
      <c r="Q308" s="69"/>
      <c r="R308" s="69"/>
      <c r="S308" s="69"/>
      <c r="T308" s="69"/>
      <c r="U308" s="69"/>
      <c r="V308" s="69"/>
      <c r="W308" s="69"/>
    </row>
    <row r="309" spans="1:23" s="72" customFormat="1" ht="42" customHeight="1" x14ac:dyDescent="0.25">
      <c r="A309" s="74"/>
      <c r="B309" s="75" t="s">
        <v>390</v>
      </c>
      <c r="C309" s="75">
        <v>2013</v>
      </c>
      <c r="D309" s="85" t="s">
        <v>46</v>
      </c>
      <c r="E309" s="75" t="s">
        <v>524</v>
      </c>
      <c r="F309" s="128" t="s">
        <v>533</v>
      </c>
      <c r="G309" s="77">
        <f>103475*M309/L309</f>
        <v>2956.4285714285716</v>
      </c>
      <c r="H309" s="77" t="s">
        <v>391</v>
      </c>
      <c r="I309" s="78" t="s">
        <v>41</v>
      </c>
      <c r="J309" s="79">
        <v>275</v>
      </c>
      <c r="K309" s="124">
        <v>1188</v>
      </c>
      <c r="L309" s="125" t="s">
        <v>689</v>
      </c>
      <c r="M309" s="125" t="s">
        <v>695</v>
      </c>
      <c r="N309" s="168">
        <f>103475*M309</f>
        <v>538483.9</v>
      </c>
      <c r="O309" s="91">
        <v>41771</v>
      </c>
      <c r="P309" s="69"/>
      <c r="Q309" s="69"/>
      <c r="R309" s="69"/>
      <c r="S309" s="69"/>
      <c r="T309" s="69"/>
      <c r="U309" s="69"/>
      <c r="V309" s="69"/>
      <c r="W309" s="69"/>
    </row>
    <row r="310" spans="1:23" s="72" customFormat="1" ht="30.6" customHeight="1" x14ac:dyDescent="0.25">
      <c r="A310" s="74"/>
      <c r="B310" s="75" t="s">
        <v>109</v>
      </c>
      <c r="C310" s="75">
        <v>2009</v>
      </c>
      <c r="D310" s="85" t="s">
        <v>46</v>
      </c>
      <c r="E310" s="75" t="s">
        <v>473</v>
      </c>
      <c r="F310" s="75" t="s">
        <v>534</v>
      </c>
      <c r="G310" s="77">
        <f>36000*M310/L310</f>
        <v>5836.6092017129686</v>
      </c>
      <c r="H310" s="77" t="s">
        <v>535</v>
      </c>
      <c r="I310" s="78" t="s">
        <v>41</v>
      </c>
      <c r="J310" s="79">
        <v>276</v>
      </c>
      <c r="K310" s="124">
        <v>1189</v>
      </c>
      <c r="L310" s="125" t="s">
        <v>689</v>
      </c>
      <c r="M310" s="125" t="s">
        <v>690</v>
      </c>
      <c r="N310" s="168">
        <f>36000*M310</f>
        <v>1063080</v>
      </c>
      <c r="O310" s="91">
        <v>41771</v>
      </c>
      <c r="P310" s="69"/>
      <c r="Q310" s="69"/>
      <c r="R310" s="69"/>
      <c r="S310" s="69"/>
      <c r="T310" s="69"/>
      <c r="U310" s="69"/>
      <c r="V310" s="69"/>
      <c r="W310" s="69"/>
    </row>
    <row r="311" spans="1:23" s="72" customFormat="1" ht="28.95" customHeight="1" x14ac:dyDescent="0.25">
      <c r="A311" s="74"/>
      <c r="B311" s="75" t="s">
        <v>50</v>
      </c>
      <c r="C311" s="75">
        <v>2009</v>
      </c>
      <c r="D311" s="85" t="s">
        <v>46</v>
      </c>
      <c r="E311" s="75" t="s">
        <v>473</v>
      </c>
      <c r="F311" s="75" t="s">
        <v>534</v>
      </c>
      <c r="G311" s="77">
        <f>38000*M311/L311</f>
        <v>6160.8652684748004</v>
      </c>
      <c r="H311" s="77" t="s">
        <v>646</v>
      </c>
      <c r="I311" s="78" t="s">
        <v>41</v>
      </c>
      <c r="J311" s="79">
        <v>277</v>
      </c>
      <c r="K311" s="124">
        <v>1190</v>
      </c>
      <c r="L311" s="125" t="s">
        <v>689</v>
      </c>
      <c r="M311" s="125" t="s">
        <v>690</v>
      </c>
      <c r="N311" s="168">
        <f>38000*M311</f>
        <v>1122140</v>
      </c>
      <c r="O311" s="91">
        <v>41771</v>
      </c>
      <c r="P311" s="69"/>
      <c r="Q311" s="69"/>
      <c r="R311" s="69"/>
      <c r="S311" s="69"/>
      <c r="T311" s="69"/>
      <c r="U311" s="69"/>
      <c r="V311" s="69"/>
      <c r="W311" s="69"/>
    </row>
    <row r="312" spans="1:23" s="72" customFormat="1" ht="30.6" customHeight="1" x14ac:dyDescent="0.25">
      <c r="A312" s="74">
        <v>882</v>
      </c>
      <c r="B312" s="75" t="s">
        <v>701</v>
      </c>
      <c r="C312" s="75">
        <v>2009</v>
      </c>
      <c r="D312" s="85" t="s">
        <v>46</v>
      </c>
      <c r="E312" s="75">
        <v>2014</v>
      </c>
      <c r="F312" s="75" t="s">
        <v>534</v>
      </c>
      <c r="G312" s="77">
        <f>38000*M312/L312</f>
        <v>6160.8652684748004</v>
      </c>
      <c r="H312" s="77" t="s">
        <v>646</v>
      </c>
      <c r="I312" s="78" t="s">
        <v>41</v>
      </c>
      <c r="J312" s="79">
        <v>278</v>
      </c>
      <c r="K312" s="124">
        <v>1191</v>
      </c>
      <c r="L312" s="125" t="s">
        <v>689</v>
      </c>
      <c r="M312" s="125" t="s">
        <v>690</v>
      </c>
      <c r="N312" s="168">
        <f>38000*M312</f>
        <v>1122140</v>
      </c>
      <c r="O312" s="91">
        <v>41771</v>
      </c>
      <c r="P312" s="69"/>
      <c r="Q312" s="69"/>
      <c r="R312" s="69"/>
      <c r="S312" s="69"/>
      <c r="T312" s="69"/>
      <c r="U312" s="69"/>
      <c r="V312" s="69"/>
      <c r="W312" s="69"/>
    </row>
    <row r="313" spans="1:23" s="72" customFormat="1" ht="31.5" customHeight="1" x14ac:dyDescent="0.25">
      <c r="A313" s="74">
        <v>883</v>
      </c>
      <c r="B313" s="75" t="s">
        <v>696</v>
      </c>
      <c r="C313" s="75">
        <v>2011</v>
      </c>
      <c r="D313" s="85" t="s">
        <v>46</v>
      </c>
      <c r="E313" s="75">
        <v>2014</v>
      </c>
      <c r="F313" s="75" t="s">
        <v>534</v>
      </c>
      <c r="G313" s="77">
        <f>38000*M313/L313</f>
        <v>6160.8652684748004</v>
      </c>
      <c r="H313" s="77" t="s">
        <v>646</v>
      </c>
      <c r="I313" s="78" t="s">
        <v>41</v>
      </c>
      <c r="J313" s="79">
        <v>279</v>
      </c>
      <c r="K313" s="124">
        <v>1192</v>
      </c>
      <c r="L313" s="125" t="s">
        <v>689</v>
      </c>
      <c r="M313" s="125" t="s">
        <v>690</v>
      </c>
      <c r="N313" s="168">
        <f>38000*M313</f>
        <v>1122140</v>
      </c>
      <c r="O313" s="91">
        <v>41771</v>
      </c>
      <c r="P313" s="69"/>
      <c r="Q313" s="69"/>
      <c r="R313" s="69"/>
      <c r="S313" s="69"/>
      <c r="T313" s="69"/>
      <c r="U313" s="69"/>
      <c r="V313" s="69"/>
      <c r="W313" s="69"/>
    </row>
    <row r="314" spans="1:23" s="72" customFormat="1" ht="28.5" customHeight="1" x14ac:dyDescent="0.25">
      <c r="A314" s="74"/>
      <c r="B314" s="75" t="s">
        <v>110</v>
      </c>
      <c r="C314" s="75">
        <v>2009</v>
      </c>
      <c r="D314" s="85" t="s">
        <v>46</v>
      </c>
      <c r="E314" s="75" t="s">
        <v>473</v>
      </c>
      <c r="F314" s="75" t="s">
        <v>534</v>
      </c>
      <c r="G314" s="77">
        <f>38000*M314/L314</f>
        <v>6160.8652684748004</v>
      </c>
      <c r="H314" s="77" t="s">
        <v>646</v>
      </c>
      <c r="I314" s="78" t="s">
        <v>41</v>
      </c>
      <c r="J314" s="79">
        <v>280</v>
      </c>
      <c r="K314" s="124">
        <v>1193</v>
      </c>
      <c r="L314" s="125" t="s">
        <v>689</v>
      </c>
      <c r="M314" s="125" t="s">
        <v>690</v>
      </c>
      <c r="N314" s="168">
        <f>38000*M314</f>
        <v>1122140</v>
      </c>
      <c r="O314" s="91">
        <v>41771</v>
      </c>
      <c r="P314" s="69"/>
      <c r="Q314" s="69"/>
      <c r="R314" s="69"/>
      <c r="S314" s="69"/>
      <c r="T314" s="69"/>
      <c r="U314" s="69"/>
      <c r="V314" s="69"/>
      <c r="W314" s="69"/>
    </row>
    <row r="315" spans="1:23" s="72" customFormat="1" ht="31.5" customHeight="1" x14ac:dyDescent="0.25">
      <c r="A315" s="74">
        <v>884</v>
      </c>
      <c r="B315" s="75" t="s">
        <v>697</v>
      </c>
      <c r="C315" s="75">
        <v>2007</v>
      </c>
      <c r="D315" s="85" t="s">
        <v>46</v>
      </c>
      <c r="E315" s="75">
        <v>2014</v>
      </c>
      <c r="F315" s="75" t="s">
        <v>534</v>
      </c>
      <c r="G315" s="77">
        <f>36000*M315/L315</f>
        <v>5836.6092017129686</v>
      </c>
      <c r="H315" s="77" t="s">
        <v>535</v>
      </c>
      <c r="I315" s="78" t="s">
        <v>41</v>
      </c>
      <c r="J315" s="79">
        <v>281</v>
      </c>
      <c r="K315" s="124">
        <v>1194</v>
      </c>
      <c r="L315" s="125" t="s">
        <v>689</v>
      </c>
      <c r="M315" s="125" t="s">
        <v>690</v>
      </c>
      <c r="N315" s="168">
        <f>36000*M315</f>
        <v>1063080</v>
      </c>
      <c r="O315" s="91">
        <v>41771</v>
      </c>
      <c r="P315" s="69"/>
      <c r="Q315" s="69"/>
      <c r="R315" s="69"/>
      <c r="S315" s="69"/>
      <c r="T315" s="69"/>
      <c r="U315" s="69"/>
      <c r="V315" s="69"/>
      <c r="W315" s="69"/>
    </row>
    <row r="316" spans="1:23" ht="42" customHeight="1" x14ac:dyDescent="0.25">
      <c r="A316" s="74">
        <v>885</v>
      </c>
      <c r="B316" s="75" t="s">
        <v>702</v>
      </c>
      <c r="C316" s="75">
        <v>2010</v>
      </c>
      <c r="D316" s="85" t="s">
        <v>139</v>
      </c>
      <c r="E316" s="75">
        <v>2014</v>
      </c>
      <c r="F316" s="93" t="s">
        <v>16</v>
      </c>
      <c r="G316" s="77">
        <v>9000</v>
      </c>
      <c r="H316" s="77" t="s">
        <v>102</v>
      </c>
      <c r="I316" s="78" t="s">
        <v>429</v>
      </c>
      <c r="J316" s="79">
        <v>282</v>
      </c>
      <c r="K316" s="124">
        <v>1195</v>
      </c>
      <c r="L316" s="125" t="s">
        <v>699</v>
      </c>
      <c r="M316" s="125"/>
      <c r="N316" s="168">
        <f>G316*L316</f>
        <v>1644300</v>
      </c>
      <c r="O316" s="91">
        <v>41773</v>
      </c>
      <c r="P316" s="69"/>
      <c r="Q316" s="69"/>
      <c r="R316" s="69"/>
      <c r="S316" s="69"/>
      <c r="T316" s="69"/>
      <c r="U316" s="69"/>
      <c r="V316" s="69"/>
      <c r="W316" s="69"/>
    </row>
    <row r="317" spans="1:23" ht="30" customHeight="1" x14ac:dyDescent="0.25">
      <c r="A317" s="74">
        <v>886</v>
      </c>
      <c r="B317" s="75" t="s">
        <v>698</v>
      </c>
      <c r="C317" s="75">
        <v>2008</v>
      </c>
      <c r="D317" s="85" t="s">
        <v>703</v>
      </c>
      <c r="E317" s="75">
        <v>2014</v>
      </c>
      <c r="F317" s="75" t="s">
        <v>240</v>
      </c>
      <c r="G317" s="77">
        <v>9000</v>
      </c>
      <c r="H317" s="77" t="s">
        <v>102</v>
      </c>
      <c r="I317" s="78" t="s">
        <v>429</v>
      </c>
      <c r="J317" s="79">
        <v>283</v>
      </c>
      <c r="K317" s="124">
        <v>1196</v>
      </c>
      <c r="L317" s="125" t="s">
        <v>699</v>
      </c>
      <c r="M317" s="125"/>
      <c r="N317" s="168">
        <f>G317*L317</f>
        <v>1644300</v>
      </c>
      <c r="O317" s="91">
        <v>41773</v>
      </c>
      <c r="P317" s="69"/>
      <c r="Q317" s="69"/>
      <c r="R317" s="69"/>
      <c r="S317" s="69"/>
      <c r="T317" s="69"/>
      <c r="U317" s="69"/>
      <c r="V317" s="69"/>
      <c r="W317" s="69"/>
    </row>
    <row r="318" spans="1:23" s="72" customFormat="1" ht="66" customHeight="1" x14ac:dyDescent="0.25">
      <c r="A318" s="74"/>
      <c r="B318" s="75" t="s">
        <v>606</v>
      </c>
      <c r="C318" s="75">
        <v>1999</v>
      </c>
      <c r="D318" s="85" t="s">
        <v>609</v>
      </c>
      <c r="E318" s="75" t="s">
        <v>524</v>
      </c>
      <c r="F318" s="75" t="s">
        <v>704</v>
      </c>
      <c r="G318" s="77">
        <f>N318/L318</f>
        <v>5404.6777777777779</v>
      </c>
      <c r="H318" s="77" t="s">
        <v>1316</v>
      </c>
      <c r="I318" s="78" t="s">
        <v>1187</v>
      </c>
      <c r="J318" s="79">
        <v>284</v>
      </c>
      <c r="K318" s="124">
        <v>1197</v>
      </c>
      <c r="L318" s="125" t="s">
        <v>699</v>
      </c>
      <c r="M318" s="125" t="s">
        <v>700</v>
      </c>
      <c r="N318" s="168">
        <f>187085*M318</f>
        <v>987434.62999999989</v>
      </c>
      <c r="O318" s="91">
        <v>41773</v>
      </c>
      <c r="P318" s="69"/>
      <c r="Q318" s="69"/>
      <c r="R318" s="69"/>
      <c r="S318" s="69"/>
      <c r="T318" s="69"/>
      <c r="U318" s="69"/>
      <c r="V318" s="69"/>
      <c r="W318" s="69"/>
    </row>
    <row r="319" spans="1:23" s="70" customFormat="1" ht="73.2" customHeight="1" x14ac:dyDescent="0.25">
      <c r="A319" s="74">
        <v>887</v>
      </c>
      <c r="B319" s="75" t="s">
        <v>705</v>
      </c>
      <c r="C319" s="75">
        <v>2006</v>
      </c>
      <c r="D319" s="156" t="s">
        <v>706</v>
      </c>
      <c r="E319" s="75">
        <v>2014</v>
      </c>
      <c r="F319" s="75" t="s">
        <v>243</v>
      </c>
      <c r="G319" s="77">
        <f>N319/L319</f>
        <v>1680.0594452073603</v>
      </c>
      <c r="H319" s="77" t="s">
        <v>1292</v>
      </c>
      <c r="I319" s="78" t="s">
        <v>429</v>
      </c>
      <c r="J319" s="79">
        <v>285</v>
      </c>
      <c r="K319" s="124">
        <v>1198</v>
      </c>
      <c r="L319" s="125" t="s">
        <v>487</v>
      </c>
      <c r="M319" s="125" t="s">
        <v>700</v>
      </c>
      <c r="N319" s="168">
        <f>57949*M319</f>
        <v>305854.82199999999</v>
      </c>
      <c r="O319" s="91">
        <v>41774</v>
      </c>
      <c r="P319" s="69"/>
      <c r="Q319" s="69"/>
      <c r="R319" s="69"/>
      <c r="S319" s="69"/>
      <c r="T319" s="69"/>
      <c r="U319" s="69"/>
      <c r="V319" s="69"/>
      <c r="W319" s="69"/>
    </row>
    <row r="320" spans="1:23" ht="40.950000000000003" customHeight="1" x14ac:dyDescent="0.25">
      <c r="A320" s="74"/>
      <c r="B320" s="75" t="s">
        <v>702</v>
      </c>
      <c r="C320" s="75">
        <v>2010</v>
      </c>
      <c r="D320" s="85" t="s">
        <v>139</v>
      </c>
      <c r="E320" s="75" t="s">
        <v>473</v>
      </c>
      <c r="F320" s="93" t="s">
        <v>16</v>
      </c>
      <c r="G320" s="77">
        <v>6000</v>
      </c>
      <c r="H320" s="77" t="s">
        <v>360</v>
      </c>
      <c r="I320" s="78" t="s">
        <v>429</v>
      </c>
      <c r="J320" s="79">
        <v>286</v>
      </c>
      <c r="K320" s="124">
        <v>1199</v>
      </c>
      <c r="L320" s="125" t="s">
        <v>699</v>
      </c>
      <c r="M320" s="125"/>
      <c r="N320" s="168">
        <f>G320*L320</f>
        <v>1096200</v>
      </c>
      <c r="O320" s="91">
        <v>41775</v>
      </c>
      <c r="P320" s="69"/>
      <c r="Q320" s="69"/>
      <c r="R320" s="69"/>
      <c r="S320" s="69"/>
      <c r="T320" s="69"/>
      <c r="U320" s="69"/>
      <c r="V320" s="69"/>
      <c r="W320" s="69"/>
    </row>
    <row r="321" spans="1:23" s="72" customFormat="1" ht="42" customHeight="1" x14ac:dyDescent="0.25">
      <c r="A321" s="74"/>
      <c r="B321" s="75" t="s">
        <v>261</v>
      </c>
      <c r="C321" s="75">
        <v>2007</v>
      </c>
      <c r="D321" s="85" t="s">
        <v>46</v>
      </c>
      <c r="E321" s="75" t="s">
        <v>473</v>
      </c>
      <c r="F321" s="75" t="s">
        <v>100</v>
      </c>
      <c r="G321" s="77">
        <f>127700*M321/L321</f>
        <v>3708.3019282535843</v>
      </c>
      <c r="H321" s="77" t="s">
        <v>707</v>
      </c>
      <c r="I321" s="78" t="s">
        <v>41</v>
      </c>
      <c r="J321" s="79">
        <v>287</v>
      </c>
      <c r="K321" s="124">
        <v>1200</v>
      </c>
      <c r="L321" s="125" t="s">
        <v>498</v>
      </c>
      <c r="M321" s="125" t="s">
        <v>708</v>
      </c>
      <c r="N321" s="168">
        <f>127700*M321</f>
        <v>675022.2</v>
      </c>
      <c r="O321" s="91">
        <v>41775</v>
      </c>
      <c r="P321" s="69"/>
      <c r="Q321" s="69"/>
      <c r="R321" s="69"/>
      <c r="S321" s="69"/>
      <c r="T321" s="69"/>
      <c r="U321" s="69"/>
      <c r="V321" s="69"/>
      <c r="W321" s="69"/>
    </row>
    <row r="322" spans="1:23" s="72" customFormat="1" ht="42" customHeight="1" x14ac:dyDescent="0.25">
      <c r="A322" s="74"/>
      <c r="B322" s="75" t="s">
        <v>290</v>
      </c>
      <c r="C322" s="75">
        <v>2011</v>
      </c>
      <c r="D322" s="85" t="s">
        <v>46</v>
      </c>
      <c r="E322" s="75" t="s">
        <v>473</v>
      </c>
      <c r="F322" s="75" t="s">
        <v>100</v>
      </c>
      <c r="G322" s="77">
        <f>99200*M322/L322</f>
        <v>2880.6856012745147</v>
      </c>
      <c r="H322" s="77" t="s">
        <v>709</v>
      </c>
      <c r="I322" s="78" t="s">
        <v>41</v>
      </c>
      <c r="J322" s="79">
        <v>288</v>
      </c>
      <c r="K322" s="124">
        <v>1201</v>
      </c>
      <c r="L322" s="125" t="s">
        <v>498</v>
      </c>
      <c r="M322" s="125" t="s">
        <v>708</v>
      </c>
      <c r="N322" s="168">
        <f>99200*M322</f>
        <v>524371.19999999995</v>
      </c>
      <c r="O322" s="91">
        <v>41775</v>
      </c>
      <c r="P322" s="69"/>
      <c r="Q322" s="69"/>
      <c r="R322" s="69"/>
      <c r="S322" s="69"/>
      <c r="T322" s="69"/>
      <c r="U322" s="69"/>
      <c r="V322" s="69"/>
      <c r="W322" s="69"/>
    </row>
    <row r="323" spans="1:23" s="70" customFormat="1" ht="42" customHeight="1" x14ac:dyDescent="0.25">
      <c r="A323" s="74">
        <v>888</v>
      </c>
      <c r="B323" s="75" t="s">
        <v>710</v>
      </c>
      <c r="C323" s="75">
        <v>2012</v>
      </c>
      <c r="D323" s="85" t="s">
        <v>46</v>
      </c>
      <c r="E323" s="75">
        <v>2014</v>
      </c>
      <c r="F323" s="75" t="s">
        <v>100</v>
      </c>
      <c r="G323" s="77">
        <f>N323/L323</f>
        <v>2989.5824864033398</v>
      </c>
      <c r="H323" s="77" t="s">
        <v>1314</v>
      </c>
      <c r="I323" s="78" t="s">
        <v>41</v>
      </c>
      <c r="J323" s="79">
        <v>289</v>
      </c>
      <c r="K323" s="124">
        <v>1202</v>
      </c>
      <c r="L323" s="125" t="s">
        <v>498</v>
      </c>
      <c r="M323" s="125" t="s">
        <v>708</v>
      </c>
      <c r="N323" s="168">
        <f>102950*M323</f>
        <v>544193.69999999995</v>
      </c>
      <c r="O323" s="91">
        <v>41775</v>
      </c>
      <c r="P323" s="69"/>
      <c r="Q323" s="69"/>
      <c r="R323" s="69"/>
      <c r="S323" s="69"/>
      <c r="T323" s="69"/>
      <c r="U323" s="69"/>
      <c r="V323" s="69"/>
      <c r="W323" s="69"/>
    </row>
    <row r="324" spans="1:23" s="72" customFormat="1" ht="42" customHeight="1" x14ac:dyDescent="0.25">
      <c r="A324" s="74"/>
      <c r="B324" s="75" t="s">
        <v>161</v>
      </c>
      <c r="C324" s="75">
        <v>2009</v>
      </c>
      <c r="D324" s="85" t="s">
        <v>46</v>
      </c>
      <c r="E324" s="75" t="s">
        <v>466</v>
      </c>
      <c r="F324" s="75" t="s">
        <v>100</v>
      </c>
      <c r="G324" s="77">
        <f>129350*M324/L324</f>
        <v>3756.2165577102674</v>
      </c>
      <c r="H324" s="77" t="s">
        <v>711</v>
      </c>
      <c r="I324" s="78" t="s">
        <v>41</v>
      </c>
      <c r="J324" s="79">
        <v>290</v>
      </c>
      <c r="K324" s="124">
        <v>1203</v>
      </c>
      <c r="L324" s="125" t="s">
        <v>498</v>
      </c>
      <c r="M324" s="125" t="s">
        <v>708</v>
      </c>
      <c r="N324" s="168">
        <f>129350*M324</f>
        <v>683744.1</v>
      </c>
      <c r="O324" s="91">
        <v>41775</v>
      </c>
      <c r="P324" s="69"/>
      <c r="Q324" s="69"/>
      <c r="R324" s="69"/>
      <c r="S324" s="69"/>
      <c r="T324" s="69"/>
      <c r="U324" s="69"/>
      <c r="V324" s="69"/>
      <c r="W324" s="69"/>
    </row>
    <row r="325" spans="1:23" ht="42" customHeight="1" x14ac:dyDescent="0.25">
      <c r="A325" s="74"/>
      <c r="B325" s="75" t="s">
        <v>131</v>
      </c>
      <c r="C325" s="75">
        <v>2008</v>
      </c>
      <c r="D325" s="85" t="s">
        <v>46</v>
      </c>
      <c r="E325" s="75" t="s">
        <v>473</v>
      </c>
      <c r="F325" s="85" t="s">
        <v>266</v>
      </c>
      <c r="G325" s="77">
        <f>143800*M325/L325</f>
        <v>4175.8325550733389</v>
      </c>
      <c r="H325" s="77" t="s">
        <v>712</v>
      </c>
      <c r="I325" s="78" t="s">
        <v>41</v>
      </c>
      <c r="J325" s="79">
        <v>291</v>
      </c>
      <c r="K325" s="124">
        <v>1204</v>
      </c>
      <c r="L325" s="125" t="s">
        <v>498</v>
      </c>
      <c r="M325" s="125" t="s">
        <v>708</v>
      </c>
      <c r="N325" s="168">
        <f>143800*M325</f>
        <v>760126.79999999993</v>
      </c>
      <c r="O325" s="91">
        <v>41775</v>
      </c>
      <c r="P325" s="69"/>
      <c r="Q325" s="69"/>
      <c r="R325" s="69"/>
      <c r="S325" s="69"/>
      <c r="T325" s="69"/>
      <c r="U325" s="69"/>
      <c r="V325" s="69"/>
      <c r="W325" s="69"/>
    </row>
    <row r="326" spans="1:23" ht="32.4" customHeight="1" x14ac:dyDescent="0.25">
      <c r="A326" s="74">
        <v>889</v>
      </c>
      <c r="B326" s="75" t="s">
        <v>713</v>
      </c>
      <c r="C326" s="75">
        <v>2009</v>
      </c>
      <c r="D326" s="85" t="s">
        <v>46</v>
      </c>
      <c r="E326" s="75">
        <v>2014</v>
      </c>
      <c r="F326" s="86" t="s">
        <v>203</v>
      </c>
      <c r="G326" s="77">
        <v>7925</v>
      </c>
      <c r="H326" s="77" t="s">
        <v>636</v>
      </c>
      <c r="I326" s="78" t="s">
        <v>41</v>
      </c>
      <c r="J326" s="79">
        <v>292</v>
      </c>
      <c r="K326" s="124">
        <v>1205</v>
      </c>
      <c r="L326" s="125" t="s">
        <v>699</v>
      </c>
      <c r="M326" s="125"/>
      <c r="N326" s="168">
        <f>G326*L326</f>
        <v>1447897.5</v>
      </c>
      <c r="O326" s="91">
        <v>41775</v>
      </c>
      <c r="P326" s="69"/>
      <c r="Q326" s="69"/>
      <c r="R326" s="69"/>
      <c r="S326" s="69"/>
      <c r="T326" s="69"/>
      <c r="U326" s="69"/>
      <c r="V326" s="69"/>
      <c r="W326" s="69"/>
    </row>
    <row r="327" spans="1:23" s="72" customFormat="1" ht="51" customHeight="1" x14ac:dyDescent="0.25">
      <c r="A327" s="74">
        <v>890</v>
      </c>
      <c r="B327" s="75" t="s">
        <v>714</v>
      </c>
      <c r="C327" s="75">
        <v>2012</v>
      </c>
      <c r="D327" s="85" t="s">
        <v>46</v>
      </c>
      <c r="E327" s="75">
        <v>2014</v>
      </c>
      <c r="F327" s="75" t="s">
        <v>293</v>
      </c>
      <c r="G327" s="77">
        <f>N327/L327</f>
        <v>4824.9321540405426</v>
      </c>
      <c r="H327" s="77" t="s">
        <v>1268</v>
      </c>
      <c r="I327" s="78" t="s">
        <v>41</v>
      </c>
      <c r="J327" s="79">
        <v>293</v>
      </c>
      <c r="K327" s="124">
        <v>1206</v>
      </c>
      <c r="L327" s="125" t="s">
        <v>498</v>
      </c>
      <c r="M327" s="125" t="s">
        <v>715</v>
      </c>
      <c r="N327" s="168">
        <f>3480*M327</f>
        <v>878282.4</v>
      </c>
      <c r="O327" s="91">
        <v>41775</v>
      </c>
      <c r="P327" s="69"/>
      <c r="Q327" s="69"/>
      <c r="R327" s="69"/>
      <c r="S327" s="69"/>
      <c r="T327" s="69"/>
      <c r="U327" s="69"/>
      <c r="V327" s="69"/>
      <c r="W327" s="69"/>
    </row>
    <row r="328" spans="1:23" ht="30" customHeight="1" x14ac:dyDescent="0.25">
      <c r="A328" s="74">
        <v>891</v>
      </c>
      <c r="B328" s="75" t="s">
        <v>716</v>
      </c>
      <c r="C328" s="75">
        <v>2004</v>
      </c>
      <c r="D328" s="85" t="s">
        <v>46</v>
      </c>
      <c r="E328" s="75">
        <v>2014</v>
      </c>
      <c r="F328" s="75" t="s">
        <v>717</v>
      </c>
      <c r="G328" s="77">
        <f>240000*M328/L328</f>
        <v>6969.4006482447949</v>
      </c>
      <c r="H328" s="77" t="s">
        <v>718</v>
      </c>
      <c r="I328" s="78" t="s">
        <v>41</v>
      </c>
      <c r="J328" s="79">
        <v>294</v>
      </c>
      <c r="K328" s="124">
        <v>1207</v>
      </c>
      <c r="L328" s="125" t="s">
        <v>498</v>
      </c>
      <c r="M328" s="125" t="s">
        <v>708</v>
      </c>
      <c r="N328" s="168">
        <f>240000*M328</f>
        <v>1268640</v>
      </c>
      <c r="O328" s="91">
        <v>41775</v>
      </c>
      <c r="P328" s="69"/>
      <c r="Q328" s="69"/>
      <c r="R328" s="69"/>
      <c r="S328" s="69"/>
      <c r="T328" s="69"/>
      <c r="U328" s="69"/>
      <c r="V328" s="69"/>
      <c r="W328" s="69"/>
    </row>
    <row r="329" spans="1:23" ht="42" customHeight="1" x14ac:dyDescent="0.25">
      <c r="A329" s="74"/>
      <c r="B329" s="75" t="s">
        <v>21</v>
      </c>
      <c r="C329" s="75">
        <v>2010</v>
      </c>
      <c r="D329" s="85" t="s">
        <v>22</v>
      </c>
      <c r="E329" s="75" t="s">
        <v>611</v>
      </c>
      <c r="F329" s="75" t="s">
        <v>348</v>
      </c>
      <c r="G329" s="77">
        <f>20210*M329/L329</f>
        <v>588.61166968847874</v>
      </c>
      <c r="H329" s="77" t="s">
        <v>670</v>
      </c>
      <c r="I329" s="78" t="s">
        <v>429</v>
      </c>
      <c r="J329" s="79">
        <v>295</v>
      </c>
      <c r="K329" s="124">
        <v>1208</v>
      </c>
      <c r="L329" s="125" t="s">
        <v>542</v>
      </c>
      <c r="M329" s="125" t="s">
        <v>719</v>
      </c>
      <c r="N329" s="168">
        <f>20210*M329</f>
        <v>107133.21</v>
      </c>
      <c r="O329" s="91">
        <v>41778</v>
      </c>
      <c r="P329" s="69"/>
      <c r="Q329" s="69"/>
      <c r="R329" s="69"/>
      <c r="S329" s="69"/>
      <c r="T329" s="69"/>
      <c r="U329" s="69"/>
      <c r="V329" s="69"/>
      <c r="W329" s="69"/>
    </row>
    <row r="330" spans="1:23" ht="42" customHeight="1" x14ac:dyDescent="0.25">
      <c r="A330" s="74"/>
      <c r="B330" s="75" t="s">
        <v>281</v>
      </c>
      <c r="C330" s="75">
        <v>2010</v>
      </c>
      <c r="D330" s="85" t="s">
        <v>46</v>
      </c>
      <c r="E330" s="75" t="s">
        <v>473</v>
      </c>
      <c r="F330" s="85" t="s">
        <v>85</v>
      </c>
      <c r="G330" s="77">
        <f>49400*M330/L330</f>
        <v>1469.9551716597418</v>
      </c>
      <c r="H330" s="77" t="s">
        <v>721</v>
      </c>
      <c r="I330" s="78" t="s">
        <v>41</v>
      </c>
      <c r="J330" s="79">
        <v>296</v>
      </c>
      <c r="K330" s="124">
        <v>1209</v>
      </c>
      <c r="L330" s="125" t="s">
        <v>722</v>
      </c>
      <c r="M330" s="125" t="s">
        <v>723</v>
      </c>
      <c r="N330" s="168">
        <f>49400*M330</f>
        <v>268884.19999999995</v>
      </c>
      <c r="O330" s="91">
        <v>41786</v>
      </c>
      <c r="P330" s="69"/>
      <c r="Q330" s="69"/>
      <c r="R330" s="69"/>
      <c r="S330" s="69"/>
      <c r="T330" s="69"/>
      <c r="U330" s="69"/>
      <c r="V330" s="69"/>
      <c r="W330" s="69"/>
    </row>
    <row r="331" spans="1:23" ht="31.2" customHeight="1" x14ac:dyDescent="0.25">
      <c r="A331" s="74"/>
      <c r="B331" s="75" t="s">
        <v>62</v>
      </c>
      <c r="C331" s="75">
        <v>2010</v>
      </c>
      <c r="D331" s="85" t="s">
        <v>46</v>
      </c>
      <c r="E331" s="75" t="s">
        <v>524</v>
      </c>
      <c r="F331" s="86" t="s">
        <v>203</v>
      </c>
      <c r="G331" s="77">
        <v>7990</v>
      </c>
      <c r="H331" s="77" t="s">
        <v>724</v>
      </c>
      <c r="I331" s="78" t="s">
        <v>41</v>
      </c>
      <c r="J331" s="79">
        <v>297</v>
      </c>
      <c r="K331" s="124">
        <v>1210</v>
      </c>
      <c r="L331" s="125" t="s">
        <v>725</v>
      </c>
      <c r="M331" s="125"/>
      <c r="N331" s="168">
        <f>G331*L331</f>
        <v>1479348.5</v>
      </c>
      <c r="O331" s="91">
        <v>41786</v>
      </c>
      <c r="P331" s="69"/>
      <c r="Q331" s="69"/>
      <c r="R331" s="69"/>
      <c r="S331" s="69"/>
      <c r="T331" s="69"/>
      <c r="U331" s="69"/>
      <c r="V331" s="69"/>
      <c r="W331" s="69"/>
    </row>
    <row r="332" spans="1:23" s="72" customFormat="1" ht="54" customHeight="1" x14ac:dyDescent="0.25">
      <c r="A332" s="74">
        <v>892</v>
      </c>
      <c r="B332" s="75" t="s">
        <v>726</v>
      </c>
      <c r="C332" s="75">
        <v>2006</v>
      </c>
      <c r="D332" s="85" t="s">
        <v>46</v>
      </c>
      <c r="E332" s="75">
        <v>2014</v>
      </c>
      <c r="F332" s="75" t="s">
        <v>729</v>
      </c>
      <c r="G332" s="77">
        <f>30000*M332/L332</f>
        <v>892.68532691887174</v>
      </c>
      <c r="H332" s="77" t="s">
        <v>204</v>
      </c>
      <c r="I332" s="78" t="s">
        <v>41</v>
      </c>
      <c r="J332" s="79">
        <v>298</v>
      </c>
      <c r="K332" s="124">
        <v>1211</v>
      </c>
      <c r="L332" s="125" t="s">
        <v>722</v>
      </c>
      <c r="M332" s="125" t="s">
        <v>723</v>
      </c>
      <c r="N332" s="168">
        <f>30000*M332</f>
        <v>163290</v>
      </c>
      <c r="O332" s="91">
        <v>41786</v>
      </c>
      <c r="P332" s="69"/>
      <c r="Q332" s="69"/>
      <c r="R332" s="69"/>
      <c r="S332" s="69"/>
      <c r="T332" s="69"/>
      <c r="U332" s="69"/>
      <c r="V332" s="69"/>
      <c r="W332" s="69"/>
    </row>
    <row r="333" spans="1:23" s="72" customFormat="1" ht="51.6" customHeight="1" x14ac:dyDescent="0.25">
      <c r="A333" s="74">
        <v>893</v>
      </c>
      <c r="B333" s="75" t="s">
        <v>727</v>
      </c>
      <c r="C333" s="75">
        <v>2012</v>
      </c>
      <c r="D333" s="85" t="s">
        <v>46</v>
      </c>
      <c r="E333" s="75">
        <v>2014</v>
      </c>
      <c r="F333" s="75" t="s">
        <v>293</v>
      </c>
      <c r="G333" s="77">
        <f>3400*M333/L333</f>
        <v>4733.4572490706323</v>
      </c>
      <c r="H333" s="77" t="s">
        <v>246</v>
      </c>
      <c r="I333" s="78" t="s">
        <v>41</v>
      </c>
      <c r="J333" s="79">
        <v>299</v>
      </c>
      <c r="K333" s="124">
        <v>1212</v>
      </c>
      <c r="L333" s="125" t="s">
        <v>722</v>
      </c>
      <c r="M333" s="125" t="s">
        <v>728</v>
      </c>
      <c r="N333" s="168">
        <f>3400*M333</f>
        <v>865844</v>
      </c>
      <c r="O333" s="91">
        <v>41786</v>
      </c>
      <c r="P333" s="69"/>
      <c r="Q333" s="69"/>
      <c r="R333" s="69"/>
      <c r="S333" s="69"/>
      <c r="T333" s="69"/>
      <c r="U333" s="69"/>
      <c r="V333" s="69"/>
      <c r="W333" s="69"/>
    </row>
    <row r="334" spans="1:23" s="72" customFormat="1" ht="51.6" customHeight="1" x14ac:dyDescent="0.25">
      <c r="A334" s="74"/>
      <c r="B334" s="75" t="s">
        <v>250</v>
      </c>
      <c r="C334" s="75">
        <v>2012</v>
      </c>
      <c r="D334" s="85" t="s">
        <v>46</v>
      </c>
      <c r="E334" s="75" t="s">
        <v>473</v>
      </c>
      <c r="F334" s="75" t="s">
        <v>293</v>
      </c>
      <c r="G334" s="77">
        <f>4012*M334/L334</f>
        <v>5585.4795539033466</v>
      </c>
      <c r="H334" s="77" t="s">
        <v>730</v>
      </c>
      <c r="I334" s="78" t="s">
        <v>41</v>
      </c>
      <c r="J334" s="79">
        <v>300</v>
      </c>
      <c r="K334" s="124">
        <v>1213</v>
      </c>
      <c r="L334" s="125" t="s">
        <v>722</v>
      </c>
      <c r="M334" s="125" t="s">
        <v>728</v>
      </c>
      <c r="N334" s="168">
        <f>4012*M334</f>
        <v>1021695.92</v>
      </c>
      <c r="O334" s="91">
        <v>41786</v>
      </c>
      <c r="P334" s="69"/>
      <c r="Q334" s="69"/>
      <c r="R334" s="69"/>
      <c r="S334" s="69"/>
      <c r="T334" s="69"/>
      <c r="U334" s="69"/>
      <c r="V334" s="69"/>
      <c r="W334" s="69"/>
    </row>
    <row r="335" spans="1:23" s="72" customFormat="1" ht="52.2" customHeight="1" x14ac:dyDescent="0.25">
      <c r="A335" s="74">
        <v>894</v>
      </c>
      <c r="B335" s="75" t="s">
        <v>731</v>
      </c>
      <c r="C335" s="75">
        <v>2009</v>
      </c>
      <c r="D335" s="85" t="s">
        <v>46</v>
      </c>
      <c r="E335" s="75">
        <v>2014</v>
      </c>
      <c r="F335" s="75" t="s">
        <v>293</v>
      </c>
      <c r="G335" s="77">
        <f>3712*M335/L335</f>
        <v>5167.8215613382908</v>
      </c>
      <c r="H335" s="77" t="s">
        <v>248</v>
      </c>
      <c r="I335" s="78" t="s">
        <v>41</v>
      </c>
      <c r="J335" s="79">
        <v>301</v>
      </c>
      <c r="K335" s="124">
        <v>1214</v>
      </c>
      <c r="L335" s="125" t="s">
        <v>722</v>
      </c>
      <c r="M335" s="125" t="s">
        <v>728</v>
      </c>
      <c r="N335" s="168">
        <f>3712*M335</f>
        <v>945297.92000000004</v>
      </c>
      <c r="O335" s="91">
        <v>41786</v>
      </c>
      <c r="P335" s="69"/>
      <c r="Q335" s="69"/>
      <c r="R335" s="69"/>
      <c r="S335" s="69"/>
      <c r="T335" s="69"/>
      <c r="U335" s="69"/>
      <c r="V335" s="69"/>
      <c r="W335" s="69"/>
    </row>
    <row r="336" spans="1:23" ht="30.6" customHeight="1" x14ac:dyDescent="0.25">
      <c r="A336" s="74">
        <v>895</v>
      </c>
      <c r="B336" s="75" t="s">
        <v>732</v>
      </c>
      <c r="C336" s="75">
        <v>2011</v>
      </c>
      <c r="D336" s="85" t="s">
        <v>46</v>
      </c>
      <c r="E336" s="75">
        <v>2014</v>
      </c>
      <c r="F336" s="75" t="s">
        <v>101</v>
      </c>
      <c r="G336" s="77">
        <v>7925</v>
      </c>
      <c r="H336" s="77" t="s">
        <v>636</v>
      </c>
      <c r="I336" s="78" t="s">
        <v>41</v>
      </c>
      <c r="J336" s="79">
        <v>302</v>
      </c>
      <c r="K336" s="124">
        <v>1215</v>
      </c>
      <c r="L336" s="125" t="s">
        <v>725</v>
      </c>
      <c r="M336" s="125"/>
      <c r="N336" s="168">
        <f t="shared" ref="N336:N341" si="4">G336*L336</f>
        <v>1467313.75</v>
      </c>
      <c r="O336" s="91">
        <v>41786</v>
      </c>
      <c r="P336" s="69"/>
      <c r="Q336" s="69"/>
      <c r="R336" s="69"/>
      <c r="S336" s="69"/>
      <c r="T336" s="69"/>
      <c r="U336" s="69"/>
      <c r="V336" s="69"/>
      <c r="W336" s="69"/>
    </row>
    <row r="337" spans="1:23" ht="30.75" customHeight="1" x14ac:dyDescent="0.25">
      <c r="A337" s="74">
        <v>896</v>
      </c>
      <c r="B337" s="75" t="s">
        <v>733</v>
      </c>
      <c r="C337" s="75">
        <v>2010</v>
      </c>
      <c r="D337" s="85" t="s">
        <v>46</v>
      </c>
      <c r="E337" s="75">
        <v>2014</v>
      </c>
      <c r="F337" s="82" t="s">
        <v>242</v>
      </c>
      <c r="G337" s="77">
        <v>8532</v>
      </c>
      <c r="H337" s="77" t="s">
        <v>734</v>
      </c>
      <c r="I337" s="78" t="s">
        <v>41</v>
      </c>
      <c r="J337" s="79">
        <v>303</v>
      </c>
      <c r="K337" s="124">
        <v>1216</v>
      </c>
      <c r="L337" s="125" t="s">
        <v>725</v>
      </c>
      <c r="M337" s="125"/>
      <c r="N337" s="168">
        <f t="shared" si="4"/>
        <v>1579699.8</v>
      </c>
      <c r="O337" s="91">
        <v>41786</v>
      </c>
      <c r="P337" s="69"/>
      <c r="Q337" s="69"/>
      <c r="R337" s="69"/>
      <c r="S337" s="69"/>
      <c r="T337" s="69"/>
      <c r="U337" s="69"/>
      <c r="V337" s="69"/>
      <c r="W337" s="69"/>
    </row>
    <row r="338" spans="1:23" ht="34.950000000000003" customHeight="1" x14ac:dyDescent="0.25">
      <c r="A338" s="74">
        <v>897</v>
      </c>
      <c r="B338" s="75" t="s">
        <v>735</v>
      </c>
      <c r="C338" s="75">
        <v>2006</v>
      </c>
      <c r="D338" s="85" t="s">
        <v>46</v>
      </c>
      <c r="E338" s="75">
        <v>2014</v>
      </c>
      <c r="F338" s="82" t="s">
        <v>242</v>
      </c>
      <c r="G338" s="77">
        <v>8789</v>
      </c>
      <c r="H338" s="77" t="s">
        <v>1207</v>
      </c>
      <c r="I338" s="78" t="s">
        <v>41</v>
      </c>
      <c r="J338" s="79">
        <v>304</v>
      </c>
      <c r="K338" s="124">
        <v>1217</v>
      </c>
      <c r="L338" s="125" t="s">
        <v>725</v>
      </c>
      <c r="M338" s="125"/>
      <c r="N338" s="168">
        <f t="shared" si="4"/>
        <v>1627283.35</v>
      </c>
      <c r="O338" s="91">
        <v>41786</v>
      </c>
      <c r="P338" s="69"/>
      <c r="Q338" s="69"/>
      <c r="R338" s="69"/>
      <c r="S338" s="69"/>
      <c r="T338" s="69"/>
      <c r="U338" s="69"/>
      <c r="V338" s="69"/>
      <c r="W338" s="69"/>
    </row>
    <row r="339" spans="1:23" ht="30.6" customHeight="1" x14ac:dyDescent="0.25">
      <c r="A339" s="220"/>
      <c r="B339" s="191" t="s">
        <v>736</v>
      </c>
      <c r="C339" s="191">
        <v>2011</v>
      </c>
      <c r="D339" s="191" t="s">
        <v>46</v>
      </c>
      <c r="E339" s="191">
        <v>2014</v>
      </c>
      <c r="F339" s="191" t="s">
        <v>200</v>
      </c>
      <c r="G339" s="77">
        <v>4436.18</v>
      </c>
      <c r="H339" s="77" t="s">
        <v>737</v>
      </c>
      <c r="I339" s="78" t="s">
        <v>41</v>
      </c>
      <c r="J339" s="199">
        <v>305</v>
      </c>
      <c r="K339" s="187">
        <v>1218</v>
      </c>
      <c r="L339" s="125" t="s">
        <v>725</v>
      </c>
      <c r="M339" s="125"/>
      <c r="N339" s="168">
        <f t="shared" si="4"/>
        <v>821358.72700000007</v>
      </c>
      <c r="O339" s="91">
        <v>41786</v>
      </c>
      <c r="P339" s="69"/>
      <c r="Q339" s="69"/>
      <c r="R339" s="69"/>
      <c r="S339" s="69"/>
      <c r="T339" s="69"/>
      <c r="U339" s="69"/>
      <c r="V339" s="69"/>
      <c r="W339" s="69"/>
    </row>
    <row r="340" spans="1:23" ht="23.25" customHeight="1" x14ac:dyDescent="0.25">
      <c r="A340" s="223"/>
      <c r="B340" s="225"/>
      <c r="C340" s="225"/>
      <c r="D340" s="225"/>
      <c r="E340" s="225"/>
      <c r="F340" s="225"/>
      <c r="G340" s="77">
        <v>9000</v>
      </c>
      <c r="H340" s="77" t="s">
        <v>102</v>
      </c>
      <c r="I340" s="92" t="s">
        <v>720</v>
      </c>
      <c r="J340" s="217"/>
      <c r="K340" s="219"/>
      <c r="L340" s="125" t="s">
        <v>725</v>
      </c>
      <c r="M340" s="125"/>
      <c r="N340" s="168">
        <f t="shared" si="4"/>
        <v>1666350</v>
      </c>
      <c r="O340" s="91">
        <v>41786</v>
      </c>
      <c r="P340" s="69"/>
      <c r="Q340" s="69"/>
      <c r="R340" s="69"/>
      <c r="S340" s="69"/>
      <c r="T340" s="69"/>
      <c r="U340" s="69"/>
      <c r="V340" s="69"/>
      <c r="W340" s="69"/>
    </row>
    <row r="341" spans="1:23" ht="24.6" customHeight="1" x14ac:dyDescent="0.25">
      <c r="A341" s="224"/>
      <c r="B341" s="226"/>
      <c r="C341" s="226"/>
      <c r="D341" s="226"/>
      <c r="E341" s="226"/>
      <c r="F341" s="226"/>
      <c r="G341" s="77">
        <v>1001.6</v>
      </c>
      <c r="H341" s="77" t="s">
        <v>1239</v>
      </c>
      <c r="I341" s="92" t="s">
        <v>720</v>
      </c>
      <c r="J341" s="215"/>
      <c r="K341" s="190"/>
      <c r="L341" s="125" t="s">
        <v>725</v>
      </c>
      <c r="M341" s="125"/>
      <c r="N341" s="168">
        <f t="shared" si="4"/>
        <v>185446.24000000002</v>
      </c>
      <c r="O341" s="91">
        <v>41786</v>
      </c>
      <c r="P341" s="69"/>
      <c r="Q341" s="69"/>
      <c r="R341" s="69"/>
      <c r="S341" s="69"/>
      <c r="T341" s="69"/>
      <c r="U341" s="69"/>
      <c r="V341" s="69"/>
      <c r="W341" s="69"/>
    </row>
    <row r="342" spans="1:23" ht="42" customHeight="1" x14ac:dyDescent="0.25">
      <c r="A342" s="74"/>
      <c r="B342" s="75" t="s">
        <v>68</v>
      </c>
      <c r="C342" s="75">
        <v>2007</v>
      </c>
      <c r="D342" s="85" t="s">
        <v>46</v>
      </c>
      <c r="E342" s="75" t="s">
        <v>586</v>
      </c>
      <c r="F342" s="75" t="s">
        <v>100</v>
      </c>
      <c r="G342" s="77">
        <f>133350*M342/L342</f>
        <v>3967.9862781543843</v>
      </c>
      <c r="H342" s="77" t="s">
        <v>738</v>
      </c>
      <c r="I342" s="78" t="s">
        <v>41</v>
      </c>
      <c r="J342" s="79">
        <v>306</v>
      </c>
      <c r="K342" s="124">
        <v>1219</v>
      </c>
      <c r="L342" s="125" t="s">
        <v>722</v>
      </c>
      <c r="M342" s="125" t="s">
        <v>723</v>
      </c>
      <c r="N342" s="168">
        <f>133350*M342</f>
        <v>725824.04999999993</v>
      </c>
      <c r="O342" s="91">
        <v>41786</v>
      </c>
      <c r="P342" s="69"/>
      <c r="Q342" s="69"/>
      <c r="R342" s="69"/>
      <c r="S342" s="69"/>
      <c r="T342" s="69"/>
      <c r="U342" s="69"/>
      <c r="V342" s="69"/>
      <c r="W342" s="69"/>
    </row>
    <row r="343" spans="1:23" s="72" customFormat="1" ht="63.6" customHeight="1" x14ac:dyDescent="0.25">
      <c r="A343" s="74">
        <v>898</v>
      </c>
      <c r="B343" s="75" t="s">
        <v>739</v>
      </c>
      <c r="C343" s="75">
        <v>2010</v>
      </c>
      <c r="D343" s="85" t="s">
        <v>740</v>
      </c>
      <c r="E343" s="75">
        <v>2014</v>
      </c>
      <c r="F343" s="154" t="s">
        <v>741</v>
      </c>
      <c r="G343" s="77">
        <f>116055*M343/L343</f>
        <v>3453.3531871856553</v>
      </c>
      <c r="H343" s="77" t="s">
        <v>742</v>
      </c>
      <c r="I343" s="92" t="s">
        <v>720</v>
      </c>
      <c r="J343" s="79">
        <v>307</v>
      </c>
      <c r="K343" s="124">
        <v>1220</v>
      </c>
      <c r="L343" s="125" t="s">
        <v>722</v>
      </c>
      <c r="M343" s="125" t="s">
        <v>723</v>
      </c>
      <c r="N343" s="168">
        <f>116055*M343</f>
        <v>631687.36499999999</v>
      </c>
      <c r="O343" s="91">
        <v>41786</v>
      </c>
      <c r="P343" s="69"/>
      <c r="Q343" s="69"/>
      <c r="R343" s="69"/>
      <c r="S343" s="69"/>
      <c r="T343" s="69"/>
      <c r="U343" s="69"/>
      <c r="V343" s="69"/>
      <c r="W343" s="69"/>
    </row>
    <row r="344" spans="1:23" ht="20.25" customHeight="1" x14ac:dyDescent="0.25">
      <c r="A344" s="220"/>
      <c r="B344" s="191" t="s">
        <v>477</v>
      </c>
      <c r="C344" s="191">
        <v>1998</v>
      </c>
      <c r="D344" s="191" t="s">
        <v>478</v>
      </c>
      <c r="E344" s="191" t="s">
        <v>524</v>
      </c>
      <c r="F344" s="191" t="s">
        <v>240</v>
      </c>
      <c r="G344" s="77">
        <v>9000</v>
      </c>
      <c r="H344" s="77" t="s">
        <v>102</v>
      </c>
      <c r="I344" s="196" t="s">
        <v>720</v>
      </c>
      <c r="J344" s="199">
        <v>308</v>
      </c>
      <c r="K344" s="187">
        <v>1221</v>
      </c>
      <c r="L344" s="125" t="s">
        <v>743</v>
      </c>
      <c r="M344" s="125"/>
      <c r="N344" s="168">
        <f>G344*L344</f>
        <v>1661850</v>
      </c>
      <c r="O344" s="91">
        <v>41787</v>
      </c>
      <c r="P344" s="69"/>
      <c r="Q344" s="69"/>
      <c r="R344" s="69"/>
      <c r="S344" s="69"/>
      <c r="T344" s="69"/>
      <c r="U344" s="69"/>
      <c r="V344" s="69"/>
      <c r="W344" s="69"/>
    </row>
    <row r="345" spans="1:23" ht="44.4" customHeight="1" x14ac:dyDescent="0.25">
      <c r="A345" s="221"/>
      <c r="B345" s="226"/>
      <c r="C345" s="226"/>
      <c r="D345" s="226"/>
      <c r="E345" s="226"/>
      <c r="F345" s="226"/>
      <c r="G345" s="77">
        <v>9000</v>
      </c>
      <c r="H345" s="77" t="s">
        <v>102</v>
      </c>
      <c r="I345" s="214"/>
      <c r="J345" s="201"/>
      <c r="K345" s="189"/>
      <c r="L345" s="125" t="s">
        <v>749</v>
      </c>
      <c r="M345" s="125"/>
      <c r="N345" s="168">
        <f>G345*L345</f>
        <v>1657350</v>
      </c>
      <c r="O345" s="91">
        <v>41789</v>
      </c>
      <c r="P345" s="69"/>
      <c r="Q345" s="69"/>
      <c r="R345" s="69"/>
      <c r="S345" s="69"/>
      <c r="T345" s="69"/>
      <c r="U345" s="69"/>
      <c r="V345" s="69"/>
      <c r="W345" s="69"/>
    </row>
    <row r="346" spans="1:23" ht="33" customHeight="1" x14ac:dyDescent="0.25">
      <c r="A346" s="74"/>
      <c r="B346" s="75" t="s">
        <v>75</v>
      </c>
      <c r="C346" s="75">
        <v>2005</v>
      </c>
      <c r="D346" s="85" t="s">
        <v>46</v>
      </c>
      <c r="E346" s="75" t="s">
        <v>466</v>
      </c>
      <c r="F346" s="75" t="s">
        <v>240</v>
      </c>
      <c r="G346" s="77">
        <v>9000</v>
      </c>
      <c r="H346" s="77" t="s">
        <v>102</v>
      </c>
      <c r="I346" s="78" t="s">
        <v>41</v>
      </c>
      <c r="J346" s="79">
        <v>309</v>
      </c>
      <c r="K346" s="124">
        <v>1222</v>
      </c>
      <c r="L346" s="125" t="s">
        <v>743</v>
      </c>
      <c r="M346" s="125"/>
      <c r="N346" s="168">
        <f>G346*L346</f>
        <v>1661850</v>
      </c>
      <c r="O346" s="91">
        <v>41787</v>
      </c>
      <c r="P346" s="69"/>
      <c r="Q346" s="69"/>
      <c r="R346" s="69"/>
      <c r="S346" s="69"/>
      <c r="T346" s="69"/>
      <c r="U346" s="69"/>
      <c r="V346" s="69"/>
      <c r="W346" s="69"/>
    </row>
    <row r="347" spans="1:23" s="70" customFormat="1" ht="31.2" customHeight="1" x14ac:dyDescent="0.25">
      <c r="A347" s="74">
        <v>899</v>
      </c>
      <c r="B347" s="75" t="s">
        <v>744</v>
      </c>
      <c r="C347" s="75">
        <v>2013</v>
      </c>
      <c r="D347" s="85" t="s">
        <v>46</v>
      </c>
      <c r="E347" s="75">
        <v>2014</v>
      </c>
      <c r="F347" s="75" t="s">
        <v>534</v>
      </c>
      <c r="G347" s="77">
        <f>26558*M347/L347</f>
        <v>4263.1971080669709</v>
      </c>
      <c r="H347" s="77" t="s">
        <v>1282</v>
      </c>
      <c r="I347" s="78" t="s">
        <v>41</v>
      </c>
      <c r="J347" s="79">
        <v>310</v>
      </c>
      <c r="K347" s="124">
        <v>1223</v>
      </c>
      <c r="L347" s="125" t="s">
        <v>746</v>
      </c>
      <c r="M347" s="125" t="s">
        <v>690</v>
      </c>
      <c r="N347" s="168">
        <f>26558*M347</f>
        <v>784257.74</v>
      </c>
      <c r="O347" s="91">
        <v>41788</v>
      </c>
      <c r="P347" s="69"/>
      <c r="Q347" s="69"/>
      <c r="R347" s="69"/>
      <c r="S347" s="69"/>
      <c r="T347" s="69"/>
      <c r="U347" s="69"/>
      <c r="V347" s="69"/>
      <c r="W347" s="69"/>
    </row>
    <row r="348" spans="1:23" ht="31.95" customHeight="1" x14ac:dyDescent="0.25">
      <c r="A348" s="74"/>
      <c r="B348" s="75" t="s">
        <v>69</v>
      </c>
      <c r="C348" s="75">
        <v>2009</v>
      </c>
      <c r="D348" s="85" t="s">
        <v>46</v>
      </c>
      <c r="E348" s="75" t="s">
        <v>524</v>
      </c>
      <c r="F348" s="82" t="s">
        <v>242</v>
      </c>
      <c r="G348" s="77">
        <v>7410</v>
      </c>
      <c r="H348" s="77" t="s">
        <v>747</v>
      </c>
      <c r="I348" s="78" t="s">
        <v>41</v>
      </c>
      <c r="J348" s="79">
        <v>311</v>
      </c>
      <c r="K348" s="124">
        <v>1224</v>
      </c>
      <c r="L348" s="125" t="s">
        <v>748</v>
      </c>
      <c r="M348" s="125"/>
      <c r="N348" s="168">
        <f>G348*L348</f>
        <v>1366774.5</v>
      </c>
      <c r="O348" s="91">
        <v>41788</v>
      </c>
      <c r="P348" s="69"/>
      <c r="Q348" s="69"/>
      <c r="R348" s="69"/>
      <c r="S348" s="69"/>
      <c r="T348" s="69"/>
      <c r="U348" s="69"/>
      <c r="V348" s="69"/>
      <c r="W348" s="69"/>
    </row>
    <row r="349" spans="1:23" ht="33.6" customHeight="1" x14ac:dyDescent="0.25">
      <c r="A349" s="74"/>
      <c r="B349" s="75" t="s">
        <v>75</v>
      </c>
      <c r="C349" s="75">
        <v>2005</v>
      </c>
      <c r="D349" s="85" t="s">
        <v>46</v>
      </c>
      <c r="E349" s="75" t="s">
        <v>586</v>
      </c>
      <c r="F349" s="75" t="s">
        <v>240</v>
      </c>
      <c r="G349" s="77">
        <v>9000</v>
      </c>
      <c r="H349" s="77" t="s">
        <v>102</v>
      </c>
      <c r="I349" s="92" t="s">
        <v>720</v>
      </c>
      <c r="J349" s="79">
        <v>312</v>
      </c>
      <c r="K349" s="124">
        <v>1225</v>
      </c>
      <c r="L349" s="125" t="s">
        <v>749</v>
      </c>
      <c r="M349" s="125"/>
      <c r="N349" s="168">
        <f>G349*L349</f>
        <v>1657350</v>
      </c>
      <c r="O349" s="91">
        <v>41789</v>
      </c>
      <c r="P349" s="69"/>
      <c r="Q349" s="69"/>
      <c r="R349" s="69"/>
      <c r="S349" s="69"/>
      <c r="T349" s="69"/>
      <c r="U349" s="69"/>
      <c r="V349" s="69"/>
      <c r="W349" s="69"/>
    </row>
    <row r="350" spans="1:23" s="72" customFormat="1" ht="65.400000000000006" customHeight="1" x14ac:dyDescent="0.25">
      <c r="A350" s="74">
        <v>900</v>
      </c>
      <c r="B350" s="75" t="s">
        <v>146</v>
      </c>
      <c r="C350" s="75">
        <v>2010</v>
      </c>
      <c r="D350" s="85" t="s">
        <v>750</v>
      </c>
      <c r="E350" s="75">
        <v>2014</v>
      </c>
      <c r="F350" s="75" t="s">
        <v>751</v>
      </c>
      <c r="G350" s="77">
        <f>247350*M350/L350</f>
        <v>7202.1310626702998</v>
      </c>
      <c r="H350" s="77" t="s">
        <v>527</v>
      </c>
      <c r="I350" s="92" t="s">
        <v>720</v>
      </c>
      <c r="J350" s="79">
        <v>313</v>
      </c>
      <c r="K350" s="124">
        <v>1226</v>
      </c>
      <c r="L350" s="125" t="s">
        <v>752</v>
      </c>
      <c r="M350" s="125" t="s">
        <v>753</v>
      </c>
      <c r="N350" s="168">
        <f>247350*M350</f>
        <v>1321591.05</v>
      </c>
      <c r="O350" s="91">
        <v>41789</v>
      </c>
      <c r="P350" s="69"/>
      <c r="Q350" s="69"/>
      <c r="R350" s="69"/>
      <c r="S350" s="69"/>
      <c r="T350" s="69"/>
      <c r="U350" s="69"/>
      <c r="V350" s="69"/>
      <c r="W350" s="69"/>
    </row>
    <row r="351" spans="1:23" s="72" customFormat="1" ht="68.25" customHeight="1" x14ac:dyDescent="0.25">
      <c r="A351" s="74"/>
      <c r="B351" s="75" t="s">
        <v>153</v>
      </c>
      <c r="C351" s="75">
        <v>2008</v>
      </c>
      <c r="D351" s="85" t="s">
        <v>754</v>
      </c>
      <c r="E351" s="75">
        <v>2014</v>
      </c>
      <c r="F351" s="75" t="s">
        <v>751</v>
      </c>
      <c r="G351" s="77">
        <f>298000*M351/L351</f>
        <v>8676.9155313351494</v>
      </c>
      <c r="H351" s="77" t="s">
        <v>755</v>
      </c>
      <c r="I351" s="92" t="s">
        <v>720</v>
      </c>
      <c r="J351" s="79">
        <v>314</v>
      </c>
      <c r="K351" s="124">
        <v>1227</v>
      </c>
      <c r="L351" s="125" t="s">
        <v>752</v>
      </c>
      <c r="M351" s="125" t="s">
        <v>753</v>
      </c>
      <c r="N351" s="168">
        <f>298000*M351</f>
        <v>1592214</v>
      </c>
      <c r="O351" s="91">
        <v>41789</v>
      </c>
      <c r="P351" s="69"/>
      <c r="Q351" s="69"/>
      <c r="R351" s="69"/>
      <c r="S351" s="69"/>
      <c r="T351" s="69"/>
      <c r="U351" s="69"/>
      <c r="V351" s="69"/>
      <c r="W351" s="69"/>
    </row>
    <row r="352" spans="1:23" s="72" customFormat="1" ht="30.75" customHeight="1" x14ac:dyDescent="0.25">
      <c r="A352" s="74"/>
      <c r="B352" s="75" t="s">
        <v>283</v>
      </c>
      <c r="C352" s="75">
        <v>2012</v>
      </c>
      <c r="D352" s="85" t="s">
        <v>46</v>
      </c>
      <c r="E352" s="75" t="s">
        <v>473</v>
      </c>
      <c r="F352" s="75" t="s">
        <v>245</v>
      </c>
      <c r="G352" s="77">
        <f>121350*M352/L352</f>
        <v>3533.3681198910085</v>
      </c>
      <c r="H352" s="77" t="s">
        <v>756</v>
      </c>
      <c r="I352" s="78" t="s">
        <v>41</v>
      </c>
      <c r="J352" s="79">
        <v>315</v>
      </c>
      <c r="K352" s="124">
        <v>1228</v>
      </c>
      <c r="L352" s="125" t="s">
        <v>752</v>
      </c>
      <c r="M352" s="125" t="s">
        <v>753</v>
      </c>
      <c r="N352" s="168">
        <f>121350*M352</f>
        <v>648373.05000000005</v>
      </c>
      <c r="O352" s="91">
        <v>41789</v>
      </c>
      <c r="P352" s="69"/>
      <c r="Q352" s="69"/>
      <c r="R352" s="69"/>
      <c r="S352" s="69"/>
      <c r="T352" s="69"/>
      <c r="U352" s="69"/>
      <c r="V352" s="69"/>
      <c r="W352" s="69"/>
    </row>
    <row r="353" spans="1:23" ht="42" customHeight="1" x14ac:dyDescent="0.25">
      <c r="A353" s="74"/>
      <c r="B353" s="75" t="s">
        <v>84</v>
      </c>
      <c r="C353" s="75">
        <v>2009</v>
      </c>
      <c r="D353" s="85" t="s">
        <v>46</v>
      </c>
      <c r="E353" s="75" t="s">
        <v>473</v>
      </c>
      <c r="F353" s="85" t="s">
        <v>85</v>
      </c>
      <c r="G353" s="77">
        <f>131400*M353/L353</f>
        <v>3825.9956403269753</v>
      </c>
      <c r="H353" s="77" t="s">
        <v>757</v>
      </c>
      <c r="I353" s="78" t="s">
        <v>41</v>
      </c>
      <c r="J353" s="79">
        <v>316</v>
      </c>
      <c r="K353" s="124">
        <v>1229</v>
      </c>
      <c r="L353" s="125" t="s">
        <v>752</v>
      </c>
      <c r="M353" s="125" t="s">
        <v>753</v>
      </c>
      <c r="N353" s="168">
        <f>131400*M353</f>
        <v>702070.2</v>
      </c>
      <c r="O353" s="91">
        <v>41789</v>
      </c>
      <c r="P353" s="69"/>
      <c r="Q353" s="69"/>
      <c r="R353" s="69"/>
      <c r="S353" s="69"/>
      <c r="T353" s="69"/>
      <c r="U353" s="69"/>
      <c r="V353" s="69"/>
      <c r="W353" s="69"/>
    </row>
    <row r="354" spans="1:23" ht="31.2" customHeight="1" x14ac:dyDescent="0.25">
      <c r="A354" s="74"/>
      <c r="B354" s="75" t="s">
        <v>422</v>
      </c>
      <c r="C354" s="75">
        <v>2011</v>
      </c>
      <c r="D354" s="85" t="s">
        <v>104</v>
      </c>
      <c r="E354" s="75" t="s">
        <v>524</v>
      </c>
      <c r="F354" s="120" t="s">
        <v>423</v>
      </c>
      <c r="G354" s="77">
        <v>9000</v>
      </c>
      <c r="H354" s="77" t="s">
        <v>102</v>
      </c>
      <c r="I354" s="92" t="s">
        <v>720</v>
      </c>
      <c r="J354" s="79">
        <v>317</v>
      </c>
      <c r="K354" s="124">
        <v>1230</v>
      </c>
      <c r="L354" s="125" t="s">
        <v>749</v>
      </c>
      <c r="M354" s="125"/>
      <c r="N354" s="168">
        <f>G354*L354</f>
        <v>1657350</v>
      </c>
      <c r="O354" s="91">
        <v>41789</v>
      </c>
      <c r="P354" s="69"/>
      <c r="Q354" s="69"/>
      <c r="R354" s="69"/>
      <c r="S354" s="69"/>
      <c r="T354" s="69"/>
      <c r="U354" s="69"/>
      <c r="V354" s="69"/>
      <c r="W354" s="69"/>
    </row>
    <row r="355" spans="1:23" s="72" customFormat="1" ht="68.400000000000006" customHeight="1" x14ac:dyDescent="0.25">
      <c r="A355" s="74"/>
      <c r="B355" s="75" t="s">
        <v>153</v>
      </c>
      <c r="C355" s="75">
        <v>2008</v>
      </c>
      <c r="D355" s="85" t="s">
        <v>754</v>
      </c>
      <c r="E355" s="75" t="s">
        <v>759</v>
      </c>
      <c r="F355" s="75" t="s">
        <v>751</v>
      </c>
      <c r="G355" s="77">
        <f>298000*M355/L355</f>
        <v>8577.3854285869984</v>
      </c>
      <c r="H355" s="77" t="s">
        <v>755</v>
      </c>
      <c r="I355" s="92" t="s">
        <v>720</v>
      </c>
      <c r="J355" s="79"/>
      <c r="K355" s="124"/>
      <c r="L355" s="125" t="s">
        <v>760</v>
      </c>
      <c r="M355" s="125" t="s">
        <v>761</v>
      </c>
      <c r="N355" s="168">
        <f>298000*M355</f>
        <v>1574036</v>
      </c>
      <c r="O355" s="91">
        <v>41793</v>
      </c>
      <c r="P355" s="69"/>
      <c r="Q355" s="69"/>
      <c r="R355" s="69"/>
      <c r="S355" s="69"/>
      <c r="T355" s="69"/>
      <c r="U355" s="69"/>
      <c r="V355" s="69"/>
      <c r="W355" s="69"/>
    </row>
    <row r="356" spans="1:23" s="72" customFormat="1" ht="64.5" customHeight="1" x14ac:dyDescent="0.25">
      <c r="A356" s="74"/>
      <c r="B356" s="75" t="s">
        <v>146</v>
      </c>
      <c r="C356" s="75">
        <v>2010</v>
      </c>
      <c r="D356" s="85" t="s">
        <v>750</v>
      </c>
      <c r="E356" s="75" t="s">
        <v>759</v>
      </c>
      <c r="F356" s="75" t="s">
        <v>751</v>
      </c>
      <c r="G356" s="77">
        <f>247350*M356/L356</f>
        <v>7119.5177374530003</v>
      </c>
      <c r="H356" s="77" t="s">
        <v>527</v>
      </c>
      <c r="I356" s="92" t="s">
        <v>720</v>
      </c>
      <c r="J356" s="79"/>
      <c r="K356" s="124"/>
      <c r="L356" s="125" t="s">
        <v>760</v>
      </c>
      <c r="M356" s="125" t="s">
        <v>761</v>
      </c>
      <c r="N356" s="168">
        <f>247350*M356</f>
        <v>1306502.7</v>
      </c>
      <c r="O356" s="91">
        <v>41793</v>
      </c>
      <c r="P356" s="69"/>
      <c r="Q356" s="69"/>
      <c r="R356" s="69"/>
      <c r="S356" s="69"/>
      <c r="T356" s="69"/>
      <c r="U356" s="69"/>
      <c r="V356" s="69"/>
      <c r="W356" s="69"/>
    </row>
    <row r="357" spans="1:23" ht="65.400000000000006" customHeight="1" x14ac:dyDescent="0.25">
      <c r="A357" s="74"/>
      <c r="B357" s="75" t="s">
        <v>477</v>
      </c>
      <c r="C357" s="75">
        <v>1998</v>
      </c>
      <c r="D357" s="85" t="s">
        <v>478</v>
      </c>
      <c r="E357" s="75" t="s">
        <v>762</v>
      </c>
      <c r="F357" s="75" t="s">
        <v>240</v>
      </c>
      <c r="G357" s="77">
        <v>7376</v>
      </c>
      <c r="H357" s="77" t="s">
        <v>1220</v>
      </c>
      <c r="I357" s="92" t="s">
        <v>720</v>
      </c>
      <c r="J357" s="79"/>
      <c r="K357" s="124"/>
      <c r="L357" s="125"/>
      <c r="M357" s="125" t="s">
        <v>749</v>
      </c>
      <c r="N357" s="168">
        <f>G357*M357</f>
        <v>1358290.4000000001</v>
      </c>
      <c r="O357" s="91">
        <v>41793</v>
      </c>
      <c r="P357" s="69"/>
      <c r="Q357" s="69"/>
      <c r="R357" s="69"/>
      <c r="S357" s="69"/>
      <c r="T357" s="69"/>
      <c r="U357" s="69"/>
      <c r="V357" s="69"/>
      <c r="W357" s="69"/>
    </row>
    <row r="358" spans="1:23" ht="32.4" customHeight="1" x14ac:dyDescent="0.25">
      <c r="A358" s="74"/>
      <c r="B358" s="74" t="s">
        <v>75</v>
      </c>
      <c r="C358" s="75">
        <v>2005</v>
      </c>
      <c r="D358" s="85" t="s">
        <v>46</v>
      </c>
      <c r="E358" s="75" t="s">
        <v>763</v>
      </c>
      <c r="F358" s="75" t="s">
        <v>240</v>
      </c>
      <c r="G358" s="77">
        <v>1933</v>
      </c>
      <c r="H358" s="77" t="s">
        <v>1235</v>
      </c>
      <c r="I358" s="92" t="s">
        <v>41</v>
      </c>
      <c r="J358" s="79"/>
      <c r="K358" s="124"/>
      <c r="L358" s="131"/>
      <c r="M358" s="125" t="s">
        <v>749</v>
      </c>
      <c r="N358" s="168">
        <f>1933*M358</f>
        <v>355961.95</v>
      </c>
      <c r="O358" s="91">
        <v>41793</v>
      </c>
      <c r="P358" s="69"/>
      <c r="Q358" s="69"/>
      <c r="R358" s="69"/>
      <c r="S358" s="69"/>
      <c r="T358" s="69"/>
      <c r="U358" s="69"/>
      <c r="V358" s="69"/>
      <c r="W358" s="69"/>
    </row>
    <row r="359" spans="1:23" s="72" customFormat="1" ht="24" customHeight="1" x14ac:dyDescent="0.25">
      <c r="A359" s="220">
        <v>901</v>
      </c>
      <c r="B359" s="191" t="s">
        <v>764</v>
      </c>
      <c r="C359" s="191">
        <v>2013</v>
      </c>
      <c r="D359" s="191" t="s">
        <v>1338</v>
      </c>
      <c r="E359" s="191">
        <v>2014</v>
      </c>
      <c r="F359" s="191" t="s">
        <v>765</v>
      </c>
      <c r="G359" s="77">
        <f>91200*M359/L359</f>
        <v>2628.504168710152</v>
      </c>
      <c r="H359" s="77" t="s">
        <v>766</v>
      </c>
      <c r="I359" s="196" t="s">
        <v>720</v>
      </c>
      <c r="J359" s="199">
        <v>318</v>
      </c>
      <c r="K359" s="187">
        <v>1231</v>
      </c>
      <c r="L359" s="125" t="s">
        <v>760</v>
      </c>
      <c r="M359" s="125" t="s">
        <v>767</v>
      </c>
      <c r="N359" s="168">
        <f>91200*M359</f>
        <v>482356.8</v>
      </c>
      <c r="O359" s="91">
        <v>41795</v>
      </c>
      <c r="P359" s="69"/>
      <c r="Q359" s="69"/>
      <c r="R359" s="69"/>
      <c r="S359" s="69"/>
      <c r="T359" s="69"/>
      <c r="U359" s="69"/>
      <c r="V359" s="69"/>
      <c r="W359" s="69"/>
    </row>
    <row r="360" spans="1:23" s="72" customFormat="1" ht="85.95" customHeight="1" x14ac:dyDescent="0.25">
      <c r="A360" s="221"/>
      <c r="B360" s="193"/>
      <c r="C360" s="193"/>
      <c r="D360" s="226"/>
      <c r="E360" s="193"/>
      <c r="F360" s="193"/>
      <c r="G360" s="77">
        <f>24000*M360/L360</f>
        <v>691.71162334477685</v>
      </c>
      <c r="H360" s="77" t="s">
        <v>768</v>
      </c>
      <c r="I360" s="197"/>
      <c r="J360" s="201"/>
      <c r="K360" s="189"/>
      <c r="L360" s="125" t="s">
        <v>760</v>
      </c>
      <c r="M360" s="125" t="s">
        <v>767</v>
      </c>
      <c r="N360" s="168">
        <f>24000*M360</f>
        <v>126936</v>
      </c>
      <c r="O360" s="91">
        <v>41795</v>
      </c>
      <c r="P360" s="69"/>
      <c r="Q360" s="69"/>
      <c r="R360" s="69"/>
      <c r="S360" s="69"/>
      <c r="T360" s="69"/>
      <c r="U360" s="69"/>
      <c r="V360" s="69"/>
      <c r="W360" s="69"/>
    </row>
    <row r="361" spans="1:23" s="72" customFormat="1" ht="37.200000000000003" customHeight="1" x14ac:dyDescent="0.25">
      <c r="A361" s="74">
        <v>902</v>
      </c>
      <c r="B361" s="75" t="s">
        <v>769</v>
      </c>
      <c r="C361" s="75">
        <v>2007</v>
      </c>
      <c r="D361" s="85" t="s">
        <v>46</v>
      </c>
      <c r="E361" s="75">
        <v>2014</v>
      </c>
      <c r="F361" s="165" t="s">
        <v>288</v>
      </c>
      <c r="G361" s="77">
        <f>3751*M361/L361</f>
        <v>5156.4752329573321</v>
      </c>
      <c r="H361" s="77" t="s">
        <v>770</v>
      </c>
      <c r="I361" s="92" t="s">
        <v>41</v>
      </c>
      <c r="J361" s="79">
        <v>319</v>
      </c>
      <c r="K361" s="124">
        <v>1232</v>
      </c>
      <c r="L361" s="125" t="s">
        <v>760</v>
      </c>
      <c r="M361" s="125" t="s">
        <v>771</v>
      </c>
      <c r="N361" s="168">
        <f>3751*M361</f>
        <v>946264.77</v>
      </c>
      <c r="O361" s="91">
        <v>41795</v>
      </c>
      <c r="P361" s="69"/>
      <c r="Q361" s="69"/>
      <c r="R361" s="69"/>
      <c r="S361" s="69"/>
      <c r="T361" s="69"/>
      <c r="U361" s="69"/>
      <c r="V361" s="69"/>
      <c r="W361" s="69"/>
    </row>
    <row r="362" spans="1:23" s="72" customFormat="1" ht="35.4" customHeight="1" x14ac:dyDescent="0.25">
      <c r="A362" s="74">
        <v>903</v>
      </c>
      <c r="B362" s="75" t="s">
        <v>774</v>
      </c>
      <c r="C362" s="75">
        <v>2010</v>
      </c>
      <c r="D362" s="85" t="s">
        <v>46</v>
      </c>
      <c r="E362" s="75">
        <v>2014</v>
      </c>
      <c r="F362" s="75" t="s">
        <v>534</v>
      </c>
      <c r="G362" s="77">
        <f>40000*M362/L362</f>
        <v>6465.0427769603839</v>
      </c>
      <c r="H362" s="77" t="s">
        <v>745</v>
      </c>
      <c r="I362" s="92" t="s">
        <v>41</v>
      </c>
      <c r="J362" s="79">
        <v>320</v>
      </c>
      <c r="K362" s="124">
        <v>1233</v>
      </c>
      <c r="L362" s="125" t="s">
        <v>760</v>
      </c>
      <c r="M362" s="125" t="s">
        <v>773</v>
      </c>
      <c r="N362" s="168">
        <f>40000*M362</f>
        <v>1186400</v>
      </c>
      <c r="O362" s="91">
        <v>41799</v>
      </c>
      <c r="P362" s="69"/>
      <c r="Q362" s="69"/>
      <c r="R362" s="69"/>
      <c r="S362" s="69"/>
      <c r="T362" s="69"/>
      <c r="U362" s="69"/>
      <c r="V362" s="69"/>
      <c r="W362" s="69"/>
    </row>
    <row r="363" spans="1:23" ht="42.6" customHeight="1" x14ac:dyDescent="0.25">
      <c r="A363" s="220">
        <v>904</v>
      </c>
      <c r="B363" s="191" t="s">
        <v>775</v>
      </c>
      <c r="C363" s="191">
        <v>1996</v>
      </c>
      <c r="D363" s="191" t="s">
        <v>139</v>
      </c>
      <c r="E363" s="191">
        <v>2014</v>
      </c>
      <c r="F363" s="191" t="s">
        <v>240</v>
      </c>
      <c r="G363" s="209">
        <v>7696.41</v>
      </c>
      <c r="H363" s="209" t="s">
        <v>1231</v>
      </c>
      <c r="I363" s="196" t="s">
        <v>720</v>
      </c>
      <c r="J363" s="199">
        <v>321</v>
      </c>
      <c r="K363" s="187">
        <v>1234</v>
      </c>
      <c r="L363" s="173" t="s">
        <v>776</v>
      </c>
      <c r="M363" s="173"/>
      <c r="N363" s="175">
        <f>7696.41*L363</f>
        <v>1418063.5425</v>
      </c>
      <c r="O363" s="177">
        <v>41802</v>
      </c>
      <c r="P363" s="69"/>
      <c r="Q363" s="69"/>
      <c r="R363" s="69"/>
      <c r="S363" s="69"/>
      <c r="T363" s="69"/>
      <c r="U363" s="69"/>
      <c r="V363" s="69"/>
      <c r="W363" s="69"/>
    </row>
    <row r="364" spans="1:23" ht="3.75" hidden="1" customHeight="1" x14ac:dyDescent="0.25">
      <c r="A364" s="224"/>
      <c r="B364" s="226"/>
      <c r="C364" s="226"/>
      <c r="D364" s="226"/>
      <c r="E364" s="226"/>
      <c r="F364" s="226"/>
      <c r="G364" s="211"/>
      <c r="H364" s="213"/>
      <c r="I364" s="214"/>
      <c r="J364" s="215"/>
      <c r="K364" s="190"/>
      <c r="L364" s="180"/>
      <c r="M364" s="180"/>
      <c r="N364" s="182"/>
      <c r="O364" s="184"/>
      <c r="P364" s="69"/>
      <c r="Q364" s="69"/>
      <c r="R364" s="69"/>
      <c r="S364" s="69"/>
      <c r="T364" s="69"/>
      <c r="U364" s="69"/>
      <c r="V364" s="69"/>
      <c r="W364" s="69"/>
    </row>
    <row r="365" spans="1:23" s="67" customFormat="1" ht="54.75" customHeight="1" x14ac:dyDescent="0.25">
      <c r="A365" s="132"/>
      <c r="B365" s="133" t="s">
        <v>1269</v>
      </c>
      <c r="C365" s="133">
        <v>2007</v>
      </c>
      <c r="D365" s="133" t="s">
        <v>46</v>
      </c>
      <c r="E365" s="133">
        <v>2014</v>
      </c>
      <c r="F365" s="75" t="s">
        <v>293</v>
      </c>
      <c r="G365" s="77">
        <f>N365/L365</f>
        <v>5406.0202985074629</v>
      </c>
      <c r="H365" s="77" t="s">
        <v>730</v>
      </c>
      <c r="I365" s="92" t="s">
        <v>41</v>
      </c>
      <c r="J365" s="134">
        <v>322</v>
      </c>
      <c r="K365" s="135">
        <v>1235</v>
      </c>
      <c r="L365" s="125" t="s">
        <v>776</v>
      </c>
      <c r="M365" s="125" t="s">
        <v>1270</v>
      </c>
      <c r="N365" s="168">
        <f>4012*M365</f>
        <v>996059.24</v>
      </c>
      <c r="O365" s="91">
        <v>41804</v>
      </c>
      <c r="P365" s="69"/>
      <c r="Q365" s="69"/>
      <c r="R365" s="69"/>
      <c r="S365" s="69"/>
      <c r="T365" s="69"/>
      <c r="U365" s="69"/>
      <c r="V365" s="69"/>
      <c r="W365" s="69"/>
    </row>
    <row r="366" spans="1:23" s="67" customFormat="1" ht="52.5" customHeight="1" x14ac:dyDescent="0.25">
      <c r="A366" s="136"/>
      <c r="B366" s="137" t="s">
        <v>1271</v>
      </c>
      <c r="C366" s="137">
        <v>2008</v>
      </c>
      <c r="D366" s="133" t="s">
        <v>46</v>
      </c>
      <c r="E366" s="137">
        <v>2014</v>
      </c>
      <c r="F366" s="75" t="s">
        <v>293</v>
      </c>
      <c r="G366" s="77">
        <f>N366/L366</f>
        <v>5001.7814925373132</v>
      </c>
      <c r="H366" s="77" t="s">
        <v>248</v>
      </c>
      <c r="I366" s="92" t="s">
        <v>41</v>
      </c>
      <c r="J366" s="138">
        <v>323</v>
      </c>
      <c r="K366" s="139">
        <v>1236</v>
      </c>
      <c r="L366" s="125" t="s">
        <v>776</v>
      </c>
      <c r="M366" s="125" t="s">
        <v>1270</v>
      </c>
      <c r="N366" s="168">
        <f>3712*M366</f>
        <v>921578.24</v>
      </c>
      <c r="O366" s="91">
        <v>41804</v>
      </c>
      <c r="P366" s="69"/>
      <c r="Q366" s="69"/>
      <c r="R366" s="69"/>
      <c r="S366" s="69"/>
      <c r="T366" s="69"/>
      <c r="U366" s="69"/>
      <c r="V366" s="69"/>
      <c r="W366" s="69"/>
    </row>
    <row r="367" spans="1:23" ht="22.5" customHeight="1" x14ac:dyDescent="0.25">
      <c r="A367" s="220">
        <v>905</v>
      </c>
      <c r="B367" s="191" t="s">
        <v>777</v>
      </c>
      <c r="C367" s="191">
        <v>2008</v>
      </c>
      <c r="D367" s="191" t="s">
        <v>778</v>
      </c>
      <c r="E367" s="191">
        <v>2014</v>
      </c>
      <c r="F367" s="191" t="s">
        <v>423</v>
      </c>
      <c r="G367" s="77">
        <v>9000</v>
      </c>
      <c r="H367" s="77" t="s">
        <v>102</v>
      </c>
      <c r="I367" s="196" t="s">
        <v>720</v>
      </c>
      <c r="J367" s="199">
        <v>324</v>
      </c>
      <c r="K367" s="187">
        <v>1237</v>
      </c>
      <c r="L367" s="125" t="s">
        <v>776</v>
      </c>
      <c r="M367" s="125"/>
      <c r="N367" s="168">
        <f>9000*L367</f>
        <v>1658250</v>
      </c>
      <c r="O367" s="91">
        <v>41806</v>
      </c>
      <c r="P367" s="69"/>
      <c r="Q367" s="69"/>
      <c r="R367" s="69"/>
      <c r="S367" s="69"/>
      <c r="T367" s="69"/>
      <c r="U367" s="69"/>
      <c r="V367" s="69"/>
      <c r="W367" s="69"/>
    </row>
    <row r="368" spans="1:23" ht="67.5" customHeight="1" x14ac:dyDescent="0.25">
      <c r="A368" s="221"/>
      <c r="B368" s="193"/>
      <c r="C368" s="193"/>
      <c r="D368" s="193"/>
      <c r="E368" s="193"/>
      <c r="F368" s="233"/>
      <c r="G368" s="77">
        <v>9000</v>
      </c>
      <c r="H368" s="77" t="s">
        <v>102</v>
      </c>
      <c r="I368" s="197"/>
      <c r="J368" s="201"/>
      <c r="K368" s="189"/>
      <c r="L368" s="125" t="s">
        <v>776</v>
      </c>
      <c r="M368" s="125"/>
      <c r="N368" s="168">
        <f>G368*L368</f>
        <v>1658250</v>
      </c>
      <c r="O368" s="91">
        <v>41807</v>
      </c>
      <c r="P368" s="69"/>
      <c r="Q368" s="69"/>
      <c r="R368" s="69"/>
      <c r="S368" s="69"/>
      <c r="T368" s="69"/>
      <c r="U368" s="69"/>
      <c r="V368" s="69"/>
      <c r="W368" s="69"/>
    </row>
    <row r="369" spans="1:23" ht="28.2" customHeight="1" x14ac:dyDescent="0.25">
      <c r="A369" s="220">
        <v>906</v>
      </c>
      <c r="B369" s="191" t="s">
        <v>779</v>
      </c>
      <c r="C369" s="191">
        <v>2009</v>
      </c>
      <c r="D369" s="191" t="s">
        <v>406</v>
      </c>
      <c r="E369" s="191">
        <v>2014</v>
      </c>
      <c r="F369" s="229" t="s">
        <v>97</v>
      </c>
      <c r="G369" s="77">
        <f>237850*M369/L369</f>
        <v>6979.5774072257645</v>
      </c>
      <c r="H369" s="77" t="s">
        <v>780</v>
      </c>
      <c r="I369" s="196" t="s">
        <v>720</v>
      </c>
      <c r="J369" s="199">
        <v>325</v>
      </c>
      <c r="K369" s="187">
        <v>1238</v>
      </c>
      <c r="L369" s="125" t="s">
        <v>760</v>
      </c>
      <c r="M369" s="125" t="s">
        <v>781</v>
      </c>
      <c r="N369" s="168">
        <f>237850*M369</f>
        <v>1280822.25</v>
      </c>
      <c r="O369" s="91">
        <v>41806</v>
      </c>
      <c r="P369" s="69"/>
      <c r="Q369" s="69"/>
      <c r="R369" s="69"/>
      <c r="S369" s="69"/>
      <c r="T369" s="69"/>
      <c r="U369" s="69"/>
      <c r="V369" s="69"/>
      <c r="W369" s="69"/>
    </row>
    <row r="370" spans="1:23" ht="25.2" customHeight="1" x14ac:dyDescent="0.25">
      <c r="A370" s="221"/>
      <c r="B370" s="193"/>
      <c r="C370" s="193"/>
      <c r="D370" s="226"/>
      <c r="E370" s="193"/>
      <c r="F370" s="226"/>
      <c r="G370" s="77">
        <f>N370/L370</f>
        <v>7482.5355566454155</v>
      </c>
      <c r="H370" s="77" t="s">
        <v>1298</v>
      </c>
      <c r="I370" s="197"/>
      <c r="J370" s="201"/>
      <c r="K370" s="189"/>
      <c r="L370" s="125" t="s">
        <v>760</v>
      </c>
      <c r="M370" s="125" t="s">
        <v>783</v>
      </c>
      <c r="N370" s="168">
        <f>256850*M370</f>
        <v>1373120.1</v>
      </c>
      <c r="O370" s="91">
        <v>41807</v>
      </c>
      <c r="P370" s="69"/>
      <c r="Q370" s="69"/>
      <c r="R370" s="69"/>
      <c r="S370" s="69"/>
      <c r="T370" s="69"/>
      <c r="U370" s="69"/>
      <c r="V370" s="69"/>
      <c r="W370" s="69"/>
    </row>
    <row r="371" spans="1:23" ht="33.6" customHeight="1" x14ac:dyDescent="0.25">
      <c r="A371" s="74"/>
      <c r="B371" s="75" t="s">
        <v>133</v>
      </c>
      <c r="C371" s="75">
        <v>2009</v>
      </c>
      <c r="D371" s="94" t="s">
        <v>104</v>
      </c>
      <c r="E371" s="75" t="s">
        <v>466</v>
      </c>
      <c r="F371" s="75" t="s">
        <v>423</v>
      </c>
      <c r="G371" s="77">
        <v>6734</v>
      </c>
      <c r="H371" s="77" t="s">
        <v>782</v>
      </c>
      <c r="I371" s="92" t="s">
        <v>720</v>
      </c>
      <c r="J371" s="79">
        <v>326</v>
      </c>
      <c r="K371" s="124">
        <v>1239</v>
      </c>
      <c r="L371" s="125" t="s">
        <v>776</v>
      </c>
      <c r="M371" s="125"/>
      <c r="N371" s="168">
        <f>G371*L371</f>
        <v>1240739.5</v>
      </c>
      <c r="O371" s="91">
        <v>41807</v>
      </c>
      <c r="P371" s="69"/>
      <c r="Q371" s="69"/>
      <c r="R371" s="69"/>
      <c r="S371" s="69"/>
      <c r="T371" s="69"/>
      <c r="U371" s="69"/>
      <c r="V371" s="69"/>
      <c r="W371" s="69"/>
    </row>
    <row r="372" spans="1:23" ht="26.4" customHeight="1" x14ac:dyDescent="0.25">
      <c r="A372" s="220"/>
      <c r="B372" s="191" t="s">
        <v>35</v>
      </c>
      <c r="C372" s="191">
        <v>2006</v>
      </c>
      <c r="D372" s="229" t="s">
        <v>406</v>
      </c>
      <c r="E372" s="248" t="s">
        <v>524</v>
      </c>
      <c r="F372" s="254" t="s">
        <v>36</v>
      </c>
      <c r="G372" s="77">
        <f>6000*M372/L372</f>
        <v>8249.4686938041523</v>
      </c>
      <c r="H372" s="77" t="s">
        <v>784</v>
      </c>
      <c r="I372" s="196" t="s">
        <v>720</v>
      </c>
      <c r="J372" s="199">
        <v>327</v>
      </c>
      <c r="K372" s="187">
        <v>1240</v>
      </c>
      <c r="L372" s="125" t="s">
        <v>760</v>
      </c>
      <c r="M372" s="125" t="s">
        <v>785</v>
      </c>
      <c r="N372" s="168">
        <f>6000*M372</f>
        <v>1513860</v>
      </c>
      <c r="O372" s="91">
        <v>41808</v>
      </c>
      <c r="P372" s="69"/>
      <c r="Q372" s="69"/>
      <c r="R372" s="69"/>
      <c r="S372" s="69"/>
      <c r="T372" s="69"/>
      <c r="U372" s="69"/>
      <c r="V372" s="69"/>
      <c r="W372" s="69"/>
    </row>
    <row r="373" spans="1:23" ht="28.2" customHeight="1" x14ac:dyDescent="0.25">
      <c r="A373" s="221"/>
      <c r="B373" s="193"/>
      <c r="C373" s="193"/>
      <c r="D373" s="233"/>
      <c r="E373" s="250"/>
      <c r="F373" s="253"/>
      <c r="G373" s="77">
        <f>1489.83*M373/L373</f>
        <v>2055.6098087297692</v>
      </c>
      <c r="H373" s="77" t="s">
        <v>799</v>
      </c>
      <c r="I373" s="197"/>
      <c r="J373" s="201"/>
      <c r="K373" s="189"/>
      <c r="L373" s="125" t="s">
        <v>760</v>
      </c>
      <c r="M373" s="125" t="s">
        <v>800</v>
      </c>
      <c r="N373" s="168">
        <f>1489.83*M373</f>
        <v>377224.95599999995</v>
      </c>
      <c r="O373" s="91">
        <v>41813</v>
      </c>
      <c r="P373" s="69"/>
      <c r="Q373" s="69"/>
      <c r="R373" s="69"/>
      <c r="S373" s="69"/>
      <c r="T373" s="69"/>
      <c r="U373" s="69"/>
      <c r="V373" s="69"/>
      <c r="W373" s="69"/>
    </row>
    <row r="374" spans="1:23" ht="24" customHeight="1" x14ac:dyDescent="0.25">
      <c r="A374" s="220">
        <v>907</v>
      </c>
      <c r="B374" s="191" t="s">
        <v>786</v>
      </c>
      <c r="C374" s="191">
        <v>2013</v>
      </c>
      <c r="D374" s="229" t="s">
        <v>406</v>
      </c>
      <c r="E374" s="248">
        <v>2014</v>
      </c>
      <c r="F374" s="251" t="s">
        <v>36</v>
      </c>
      <c r="G374" s="77">
        <f>6000*M374/L374</f>
        <v>8249.4686938041523</v>
      </c>
      <c r="H374" s="77" t="s">
        <v>784</v>
      </c>
      <c r="I374" s="196" t="s">
        <v>720</v>
      </c>
      <c r="J374" s="199">
        <v>328</v>
      </c>
      <c r="K374" s="187">
        <v>1241</v>
      </c>
      <c r="L374" s="125" t="s">
        <v>760</v>
      </c>
      <c r="M374" s="125" t="s">
        <v>785</v>
      </c>
      <c r="N374" s="168">
        <f>6000*M374</f>
        <v>1513860</v>
      </c>
      <c r="O374" s="91">
        <v>41808</v>
      </c>
      <c r="P374" s="69"/>
      <c r="Q374" s="69"/>
      <c r="R374" s="69"/>
      <c r="S374" s="69"/>
      <c r="T374" s="69"/>
      <c r="U374" s="69"/>
      <c r="V374" s="69"/>
      <c r="W374" s="69"/>
    </row>
    <row r="375" spans="1:23" ht="26.4" customHeight="1" x14ac:dyDescent="0.25">
      <c r="A375" s="228"/>
      <c r="B375" s="192"/>
      <c r="C375" s="192"/>
      <c r="D375" s="192"/>
      <c r="E375" s="249"/>
      <c r="F375" s="252"/>
      <c r="G375" s="77">
        <f>6000*M375/L375</f>
        <v>8280</v>
      </c>
      <c r="H375" s="77" t="s">
        <v>784</v>
      </c>
      <c r="I375" s="198"/>
      <c r="J375" s="200"/>
      <c r="K375" s="188"/>
      <c r="L375" s="125" t="s">
        <v>752</v>
      </c>
      <c r="M375" s="125" t="s">
        <v>802</v>
      </c>
      <c r="N375" s="168">
        <f>6000*M375</f>
        <v>1519380</v>
      </c>
      <c r="O375" s="91">
        <v>41813</v>
      </c>
      <c r="P375" s="69"/>
      <c r="Q375" s="69"/>
      <c r="R375" s="69"/>
      <c r="S375" s="69"/>
      <c r="T375" s="69"/>
      <c r="U375" s="69"/>
      <c r="V375" s="69"/>
      <c r="W375" s="69"/>
    </row>
    <row r="376" spans="1:23" ht="30" customHeight="1" x14ac:dyDescent="0.25">
      <c r="A376" s="221"/>
      <c r="B376" s="193"/>
      <c r="C376" s="193"/>
      <c r="D376" s="233"/>
      <c r="E376" s="250"/>
      <c r="F376" s="253"/>
      <c r="G376" s="77">
        <f>4443.61*M376/L376</f>
        <v>6127.8229455040864</v>
      </c>
      <c r="H376" s="77" t="s">
        <v>801</v>
      </c>
      <c r="I376" s="197"/>
      <c r="J376" s="201"/>
      <c r="K376" s="189"/>
      <c r="L376" s="125" t="s">
        <v>752</v>
      </c>
      <c r="M376" s="125" t="s">
        <v>803</v>
      </c>
      <c r="N376" s="168">
        <f>4443.61*M376</f>
        <v>1124455.5104999999</v>
      </c>
      <c r="O376" s="91">
        <v>41814</v>
      </c>
      <c r="P376" s="69"/>
      <c r="Q376" s="69"/>
      <c r="R376" s="69"/>
      <c r="S376" s="69"/>
      <c r="T376" s="69"/>
      <c r="U376" s="69"/>
      <c r="V376" s="69"/>
      <c r="W376" s="69"/>
    </row>
    <row r="377" spans="1:23" s="9" customFormat="1" ht="64.5" customHeight="1" x14ac:dyDescent="0.25">
      <c r="A377" s="74"/>
      <c r="B377" s="75" t="s">
        <v>45</v>
      </c>
      <c r="C377" s="75">
        <v>2010</v>
      </c>
      <c r="D377" s="120" t="s">
        <v>406</v>
      </c>
      <c r="E377" s="75" t="s">
        <v>473</v>
      </c>
      <c r="F377" s="93" t="s">
        <v>36</v>
      </c>
      <c r="G377" s="77">
        <f>4539.06*M377/L377</f>
        <v>6240.8055615497797</v>
      </c>
      <c r="H377" s="77" t="s">
        <v>787</v>
      </c>
      <c r="I377" s="92" t="s">
        <v>1187</v>
      </c>
      <c r="J377" s="79">
        <v>329</v>
      </c>
      <c r="K377" s="124">
        <v>1242</v>
      </c>
      <c r="L377" s="125" t="s">
        <v>760</v>
      </c>
      <c r="M377" s="125" t="s">
        <v>785</v>
      </c>
      <c r="N377" s="168">
        <f>4539.06*M377</f>
        <v>1145250.2286</v>
      </c>
      <c r="O377" s="91">
        <v>41808</v>
      </c>
      <c r="P377" s="69"/>
      <c r="Q377" s="69"/>
      <c r="R377" s="69"/>
      <c r="S377" s="69"/>
      <c r="T377" s="69"/>
      <c r="U377" s="69"/>
      <c r="V377" s="69"/>
      <c r="W377" s="69"/>
    </row>
    <row r="378" spans="1:23" ht="66.75" customHeight="1" x14ac:dyDescent="0.25">
      <c r="A378" s="74"/>
      <c r="B378" s="75" t="s">
        <v>130</v>
      </c>
      <c r="C378" s="75">
        <v>2006</v>
      </c>
      <c r="D378" s="140" t="s">
        <v>46</v>
      </c>
      <c r="E378" s="75" t="s">
        <v>473</v>
      </c>
      <c r="F378" s="75" t="s">
        <v>805</v>
      </c>
      <c r="G378" s="77">
        <f>85000*M378/L378</f>
        <v>2461.854939785298</v>
      </c>
      <c r="H378" s="77" t="s">
        <v>788</v>
      </c>
      <c r="I378" s="92" t="s">
        <v>41</v>
      </c>
      <c r="J378" s="79">
        <v>330</v>
      </c>
      <c r="K378" s="124">
        <v>1243</v>
      </c>
      <c r="L378" s="125" t="s">
        <v>760</v>
      </c>
      <c r="M378" s="125" t="s">
        <v>789</v>
      </c>
      <c r="N378" s="168">
        <f>85000*M378</f>
        <v>451775.00000000006</v>
      </c>
      <c r="O378" s="91">
        <v>41808</v>
      </c>
      <c r="P378" s="69"/>
      <c r="Q378" s="69"/>
      <c r="R378" s="69"/>
      <c r="S378" s="69"/>
      <c r="T378" s="69"/>
      <c r="U378" s="69"/>
      <c r="V378" s="69"/>
      <c r="W378" s="69"/>
    </row>
    <row r="379" spans="1:23" ht="55.2" customHeight="1" x14ac:dyDescent="0.25">
      <c r="A379" s="74"/>
      <c r="B379" s="75" t="s">
        <v>790</v>
      </c>
      <c r="C379" s="75">
        <v>2002</v>
      </c>
      <c r="D379" s="140" t="s">
        <v>46</v>
      </c>
      <c r="E379" s="75">
        <v>2014</v>
      </c>
      <c r="F379" s="75" t="s">
        <v>805</v>
      </c>
      <c r="G379" s="77">
        <f>85000*M379/L379</f>
        <v>2461.854939785298</v>
      </c>
      <c r="H379" s="77" t="s">
        <v>788</v>
      </c>
      <c r="I379" s="92" t="s">
        <v>41</v>
      </c>
      <c r="J379" s="79">
        <v>331</v>
      </c>
      <c r="K379" s="124">
        <v>1244</v>
      </c>
      <c r="L379" s="125" t="s">
        <v>760</v>
      </c>
      <c r="M379" s="125" t="s">
        <v>789</v>
      </c>
      <c r="N379" s="168">
        <f>85000*M379</f>
        <v>451775.00000000006</v>
      </c>
      <c r="O379" s="91">
        <v>41808</v>
      </c>
      <c r="P379" s="69"/>
      <c r="Q379" s="69"/>
      <c r="R379" s="69"/>
      <c r="S379" s="69"/>
      <c r="T379" s="69"/>
      <c r="U379" s="69"/>
      <c r="V379" s="69"/>
      <c r="W379" s="69"/>
    </row>
    <row r="380" spans="1:23" s="72" customFormat="1" ht="69.599999999999994" customHeight="1" x14ac:dyDescent="0.25">
      <c r="A380" s="74">
        <v>908</v>
      </c>
      <c r="B380" s="75" t="s">
        <v>791</v>
      </c>
      <c r="C380" s="75">
        <v>2011</v>
      </c>
      <c r="D380" s="140" t="s">
        <v>792</v>
      </c>
      <c r="E380" s="75">
        <v>2014</v>
      </c>
      <c r="F380" s="93" t="s">
        <v>18</v>
      </c>
      <c r="G380" s="77">
        <f>108000*M380/L380</f>
        <v>3164.4923982344289</v>
      </c>
      <c r="H380" s="77" t="s">
        <v>99</v>
      </c>
      <c r="I380" s="92" t="s">
        <v>720</v>
      </c>
      <c r="J380" s="79">
        <v>332</v>
      </c>
      <c r="K380" s="124">
        <v>1245</v>
      </c>
      <c r="L380" s="125" t="s">
        <v>760</v>
      </c>
      <c r="M380" s="125" t="s">
        <v>793</v>
      </c>
      <c r="N380" s="168">
        <f>108000*M380</f>
        <v>580716</v>
      </c>
      <c r="O380" s="91">
        <v>41810</v>
      </c>
      <c r="P380" s="69"/>
      <c r="Q380" s="69"/>
      <c r="R380" s="69"/>
      <c r="S380" s="69"/>
      <c r="T380" s="69"/>
      <c r="U380" s="69"/>
      <c r="V380" s="69"/>
      <c r="W380" s="69"/>
    </row>
    <row r="381" spans="1:23" ht="43.2" customHeight="1" x14ac:dyDescent="0.25">
      <c r="A381" s="74">
        <v>909</v>
      </c>
      <c r="B381" s="75" t="s">
        <v>794</v>
      </c>
      <c r="C381" s="75">
        <v>2003</v>
      </c>
      <c r="D381" s="140" t="s">
        <v>46</v>
      </c>
      <c r="E381" s="75">
        <v>2014</v>
      </c>
      <c r="F381" s="85" t="s">
        <v>266</v>
      </c>
      <c r="G381" s="77">
        <f>150700*M381/L381</f>
        <v>4415.6389297585965</v>
      </c>
      <c r="H381" s="77" t="s">
        <v>795</v>
      </c>
      <c r="I381" s="92" t="s">
        <v>41</v>
      </c>
      <c r="J381" s="79">
        <v>333</v>
      </c>
      <c r="K381" s="124">
        <v>1246</v>
      </c>
      <c r="L381" s="125" t="s">
        <v>760</v>
      </c>
      <c r="M381" s="125" t="s">
        <v>793</v>
      </c>
      <c r="N381" s="168">
        <f>150700*M381</f>
        <v>810313.9</v>
      </c>
      <c r="O381" s="91">
        <v>41810</v>
      </c>
      <c r="P381" s="69"/>
      <c r="Q381" s="69"/>
      <c r="R381" s="69"/>
      <c r="S381" s="69"/>
      <c r="T381" s="69"/>
      <c r="U381" s="69"/>
      <c r="V381" s="69"/>
      <c r="W381" s="69"/>
    </row>
    <row r="382" spans="1:23" ht="42" customHeight="1" x14ac:dyDescent="0.25">
      <c r="A382" s="74">
        <v>910</v>
      </c>
      <c r="B382" s="75" t="s">
        <v>796</v>
      </c>
      <c r="C382" s="75">
        <v>2009</v>
      </c>
      <c r="D382" s="140" t="s">
        <v>46</v>
      </c>
      <c r="E382" s="75">
        <v>2014</v>
      </c>
      <c r="F382" s="75" t="s">
        <v>804</v>
      </c>
      <c r="G382" s="77">
        <f>3834*M382/L382</f>
        <v>5296.4816086316823</v>
      </c>
      <c r="H382" s="77" t="s">
        <v>797</v>
      </c>
      <c r="I382" s="92" t="s">
        <v>41</v>
      </c>
      <c r="J382" s="79">
        <v>334</v>
      </c>
      <c r="K382" s="124">
        <v>1247</v>
      </c>
      <c r="L382" s="125" t="s">
        <v>760</v>
      </c>
      <c r="M382" s="125" t="s">
        <v>798</v>
      </c>
      <c r="N382" s="168">
        <f>3834*M382</f>
        <v>971957.34</v>
      </c>
      <c r="O382" s="91">
        <v>41810</v>
      </c>
      <c r="P382" s="69"/>
      <c r="Q382" s="69"/>
      <c r="R382" s="69"/>
      <c r="S382" s="69"/>
      <c r="T382" s="69"/>
      <c r="U382" s="69"/>
      <c r="V382" s="69"/>
      <c r="W382" s="69"/>
    </row>
    <row r="383" spans="1:23" ht="37.200000000000003" customHeight="1" x14ac:dyDescent="0.25">
      <c r="A383" s="74"/>
      <c r="B383" s="75" t="s">
        <v>655</v>
      </c>
      <c r="C383" s="75">
        <v>2013</v>
      </c>
      <c r="D383" s="85" t="s">
        <v>656</v>
      </c>
      <c r="E383" s="75" t="s">
        <v>272</v>
      </c>
      <c r="F383" s="75" t="s">
        <v>240</v>
      </c>
      <c r="G383" s="77">
        <v>4350.25</v>
      </c>
      <c r="H383" s="77" t="s">
        <v>1232</v>
      </c>
      <c r="I383" s="92" t="s">
        <v>720</v>
      </c>
      <c r="J383" s="79"/>
      <c r="K383" s="124"/>
      <c r="L383" s="125" t="s">
        <v>776</v>
      </c>
      <c r="M383" s="125"/>
      <c r="N383" s="168">
        <f>G383*L383</f>
        <v>801533.5625</v>
      </c>
      <c r="O383" s="91">
        <v>41813</v>
      </c>
      <c r="P383" s="69"/>
      <c r="Q383" s="69"/>
      <c r="R383" s="69"/>
      <c r="S383" s="69"/>
      <c r="T383" s="69"/>
      <c r="U383" s="69"/>
      <c r="V383" s="69"/>
      <c r="W383" s="69"/>
    </row>
    <row r="384" spans="1:23" s="72" customFormat="1" ht="110.4" customHeight="1" x14ac:dyDescent="0.25">
      <c r="A384" s="74"/>
      <c r="B384" s="75" t="s">
        <v>116</v>
      </c>
      <c r="C384" s="75">
        <v>2003</v>
      </c>
      <c r="D384" s="93" t="s">
        <v>117</v>
      </c>
      <c r="E384" s="75" t="s">
        <v>613</v>
      </c>
      <c r="F384" s="93" t="s">
        <v>115</v>
      </c>
      <c r="G384" s="77">
        <f>75310*M384/L384</f>
        <v>2256.5501117227095</v>
      </c>
      <c r="H384" s="77" t="s">
        <v>806</v>
      </c>
      <c r="I384" s="92" t="s">
        <v>720</v>
      </c>
      <c r="J384" s="79">
        <v>335</v>
      </c>
      <c r="K384" s="124">
        <v>1248</v>
      </c>
      <c r="L384" s="125" t="s">
        <v>807</v>
      </c>
      <c r="M384" s="125" t="s">
        <v>808</v>
      </c>
      <c r="N384" s="168">
        <f>75310*M384</f>
        <v>414054.38</v>
      </c>
      <c r="O384" s="91">
        <v>41815</v>
      </c>
      <c r="P384" s="69"/>
      <c r="Q384" s="69"/>
      <c r="R384" s="69"/>
      <c r="S384" s="69"/>
      <c r="T384" s="69"/>
      <c r="U384" s="69"/>
      <c r="V384" s="69"/>
      <c r="W384" s="69"/>
    </row>
    <row r="385" spans="1:23" ht="25.2" customHeight="1" x14ac:dyDescent="0.25">
      <c r="A385" s="220"/>
      <c r="B385" s="191" t="s">
        <v>777</v>
      </c>
      <c r="C385" s="191">
        <v>2008</v>
      </c>
      <c r="D385" s="229" t="s">
        <v>778</v>
      </c>
      <c r="E385" s="191" t="s">
        <v>272</v>
      </c>
      <c r="F385" s="229" t="s">
        <v>423</v>
      </c>
      <c r="G385" s="77">
        <v>9000</v>
      </c>
      <c r="H385" s="77" t="s">
        <v>102</v>
      </c>
      <c r="I385" s="206" t="s">
        <v>720</v>
      </c>
      <c r="J385" s="199"/>
      <c r="K385" s="187"/>
      <c r="L385" s="125" t="s">
        <v>776</v>
      </c>
      <c r="M385" s="173"/>
      <c r="N385" s="168">
        <f>9000*L385</f>
        <v>1658250</v>
      </c>
      <c r="O385" s="91">
        <v>41815</v>
      </c>
      <c r="P385" s="69"/>
      <c r="Q385" s="69"/>
      <c r="R385" s="69"/>
      <c r="S385" s="69"/>
      <c r="T385" s="69"/>
      <c r="U385" s="69"/>
      <c r="V385" s="69"/>
      <c r="W385" s="69"/>
    </row>
    <row r="386" spans="1:23" ht="25.95" customHeight="1" x14ac:dyDescent="0.25">
      <c r="A386" s="228"/>
      <c r="B386" s="192"/>
      <c r="C386" s="192"/>
      <c r="D386" s="192"/>
      <c r="E386" s="192"/>
      <c r="F386" s="192"/>
      <c r="G386" s="77">
        <v>9000</v>
      </c>
      <c r="H386" s="77" t="s">
        <v>102</v>
      </c>
      <c r="I386" s="207"/>
      <c r="J386" s="200"/>
      <c r="K386" s="188"/>
      <c r="L386" s="125" t="s">
        <v>776</v>
      </c>
      <c r="M386" s="179"/>
      <c r="N386" s="168">
        <f>G386*L387</f>
        <v>1658250</v>
      </c>
      <c r="O386" s="91">
        <v>41816</v>
      </c>
      <c r="P386" s="69"/>
      <c r="Q386" s="69"/>
      <c r="R386" s="69"/>
      <c r="S386" s="69"/>
      <c r="T386" s="69"/>
      <c r="U386" s="69"/>
      <c r="V386" s="69"/>
      <c r="W386" s="69"/>
    </row>
    <row r="387" spans="1:23" ht="24.6" customHeight="1" x14ac:dyDescent="0.25">
      <c r="A387" s="228"/>
      <c r="B387" s="192"/>
      <c r="C387" s="192"/>
      <c r="D387" s="225"/>
      <c r="E387" s="192"/>
      <c r="F387" s="225"/>
      <c r="G387" s="77">
        <v>9000</v>
      </c>
      <c r="H387" s="77" t="s">
        <v>102</v>
      </c>
      <c r="I387" s="207"/>
      <c r="J387" s="200"/>
      <c r="K387" s="188"/>
      <c r="L387" s="125" t="s">
        <v>776</v>
      </c>
      <c r="M387" s="179"/>
      <c r="N387" s="168">
        <f>G387*L387</f>
        <v>1658250</v>
      </c>
      <c r="O387" s="91">
        <v>41817</v>
      </c>
      <c r="P387" s="69"/>
      <c r="Q387" s="69"/>
      <c r="R387" s="69"/>
      <c r="S387" s="69"/>
      <c r="T387" s="69"/>
      <c r="U387" s="69"/>
      <c r="V387" s="69"/>
      <c r="W387" s="69"/>
    </row>
    <row r="388" spans="1:23" ht="25.2" customHeight="1" x14ac:dyDescent="0.25">
      <c r="A388" s="221"/>
      <c r="B388" s="193"/>
      <c r="C388" s="193"/>
      <c r="D388" s="226"/>
      <c r="E388" s="193"/>
      <c r="F388" s="226"/>
      <c r="G388" s="77">
        <v>1800</v>
      </c>
      <c r="H388" s="77" t="s">
        <v>809</v>
      </c>
      <c r="I388" s="208"/>
      <c r="J388" s="201"/>
      <c r="K388" s="189"/>
      <c r="L388" s="125" t="s">
        <v>776</v>
      </c>
      <c r="M388" s="180"/>
      <c r="N388" s="168">
        <f>G388*L388</f>
        <v>331650</v>
      </c>
      <c r="O388" s="91">
        <v>41820</v>
      </c>
      <c r="P388" s="69"/>
      <c r="Q388" s="69"/>
      <c r="R388" s="69"/>
      <c r="S388" s="69"/>
      <c r="T388" s="69"/>
      <c r="U388" s="69"/>
      <c r="V388" s="69"/>
      <c r="W388" s="69"/>
    </row>
    <row r="389" spans="1:23" ht="34.200000000000003" customHeight="1" x14ac:dyDescent="0.25">
      <c r="A389" s="74"/>
      <c r="B389" s="75" t="s">
        <v>698</v>
      </c>
      <c r="C389" s="75">
        <v>2008</v>
      </c>
      <c r="D389" s="85" t="s">
        <v>703</v>
      </c>
      <c r="E389" s="75" t="s">
        <v>272</v>
      </c>
      <c r="F389" s="75" t="s">
        <v>240</v>
      </c>
      <c r="G389" s="77">
        <v>9000</v>
      </c>
      <c r="H389" s="77" t="s">
        <v>102</v>
      </c>
      <c r="I389" s="92" t="s">
        <v>720</v>
      </c>
      <c r="J389" s="79"/>
      <c r="K389" s="124"/>
      <c r="L389" s="125" t="s">
        <v>776</v>
      </c>
      <c r="M389" s="125"/>
      <c r="N389" s="168">
        <f>G389*L389</f>
        <v>1658250</v>
      </c>
      <c r="O389" s="91">
        <v>41816</v>
      </c>
      <c r="P389" s="69"/>
      <c r="Q389" s="69"/>
      <c r="R389" s="69"/>
      <c r="S389" s="69"/>
      <c r="T389" s="69"/>
      <c r="U389" s="69"/>
      <c r="V389" s="69"/>
      <c r="W389" s="69"/>
    </row>
    <row r="390" spans="1:23" s="72" customFormat="1" ht="66" customHeight="1" x14ac:dyDescent="0.25">
      <c r="A390" s="74"/>
      <c r="B390" s="75" t="s">
        <v>606</v>
      </c>
      <c r="C390" s="75">
        <v>1999</v>
      </c>
      <c r="D390" s="160" t="s">
        <v>609</v>
      </c>
      <c r="E390" s="160" t="s">
        <v>272</v>
      </c>
      <c r="F390" s="160" t="s">
        <v>704</v>
      </c>
      <c r="G390" s="77">
        <f>56868*M390/L390</f>
        <v>1703.7777995749552</v>
      </c>
      <c r="H390" s="77" t="s">
        <v>810</v>
      </c>
      <c r="I390" s="92" t="s">
        <v>720</v>
      </c>
      <c r="J390" s="79"/>
      <c r="K390" s="124"/>
      <c r="L390" s="125" t="s">
        <v>760</v>
      </c>
      <c r="M390" s="125" t="s">
        <v>808</v>
      </c>
      <c r="N390" s="168">
        <f>56868*M390</f>
        <v>312660.26400000002</v>
      </c>
      <c r="O390" s="91">
        <v>41816</v>
      </c>
      <c r="P390" s="69"/>
      <c r="Q390" s="69"/>
      <c r="R390" s="69"/>
      <c r="S390" s="69"/>
      <c r="T390" s="69"/>
      <c r="U390" s="69"/>
      <c r="V390" s="69"/>
      <c r="W390" s="69"/>
    </row>
    <row r="391" spans="1:23" s="70" customFormat="1" ht="45.6" customHeight="1" x14ac:dyDescent="0.25">
      <c r="A391" s="74"/>
      <c r="B391" s="75" t="s">
        <v>173</v>
      </c>
      <c r="C391" s="75">
        <v>2005</v>
      </c>
      <c r="D391" s="158" t="s">
        <v>331</v>
      </c>
      <c r="E391" s="160" t="s">
        <v>364</v>
      </c>
      <c r="F391" s="160" t="s">
        <v>13</v>
      </c>
      <c r="G391" s="77">
        <f>N391/L391</f>
        <v>591.11514358890531</v>
      </c>
      <c r="H391" s="77" t="s">
        <v>1291</v>
      </c>
      <c r="I391" s="92" t="s">
        <v>720</v>
      </c>
      <c r="J391" s="79">
        <v>336</v>
      </c>
      <c r="K391" s="124">
        <v>1249</v>
      </c>
      <c r="L391" s="125" t="s">
        <v>760</v>
      </c>
      <c r="M391" s="125" t="s">
        <v>808</v>
      </c>
      <c r="N391" s="168">
        <f>19730*M391</f>
        <v>108475.54000000001</v>
      </c>
      <c r="O391" s="91">
        <v>41816</v>
      </c>
      <c r="P391" s="69"/>
      <c r="Q391" s="69"/>
      <c r="R391" s="69"/>
      <c r="S391" s="69"/>
      <c r="T391" s="69"/>
      <c r="U391" s="69"/>
      <c r="V391" s="69"/>
      <c r="W391" s="69"/>
    </row>
    <row r="392" spans="1:23" ht="87" customHeight="1" x14ac:dyDescent="0.25">
      <c r="A392" s="74"/>
      <c r="B392" s="75" t="s">
        <v>122</v>
      </c>
      <c r="C392" s="75">
        <v>2011</v>
      </c>
      <c r="D392" s="160" t="s">
        <v>123</v>
      </c>
      <c r="E392" s="160" t="s">
        <v>272</v>
      </c>
      <c r="F392" s="120" t="s">
        <v>423</v>
      </c>
      <c r="G392" s="77">
        <v>9000</v>
      </c>
      <c r="H392" s="77" t="s">
        <v>102</v>
      </c>
      <c r="I392" s="92" t="s">
        <v>720</v>
      </c>
      <c r="J392" s="79"/>
      <c r="K392" s="124"/>
      <c r="L392" s="125" t="s">
        <v>776</v>
      </c>
      <c r="M392" s="125"/>
      <c r="N392" s="168">
        <f>G392*L392</f>
        <v>1658250</v>
      </c>
      <c r="O392" s="91">
        <v>41821</v>
      </c>
      <c r="P392" s="69"/>
      <c r="Q392" s="69"/>
      <c r="R392" s="69"/>
      <c r="S392" s="69"/>
      <c r="T392" s="69"/>
      <c r="U392" s="69"/>
      <c r="V392" s="69"/>
      <c r="W392" s="69"/>
    </row>
    <row r="393" spans="1:23" s="72" customFormat="1" ht="42" customHeight="1" x14ac:dyDescent="0.25">
      <c r="A393" s="220"/>
      <c r="B393" s="220" t="s">
        <v>126</v>
      </c>
      <c r="C393" s="220">
        <v>2011</v>
      </c>
      <c r="D393" s="231" t="s">
        <v>175</v>
      </c>
      <c r="E393" s="191" t="s">
        <v>524</v>
      </c>
      <c r="F393" s="191" t="s">
        <v>423</v>
      </c>
      <c r="G393" s="77">
        <v>9000</v>
      </c>
      <c r="H393" s="77" t="s">
        <v>102</v>
      </c>
      <c r="I393" s="196" t="s">
        <v>720</v>
      </c>
      <c r="J393" s="199">
        <v>337</v>
      </c>
      <c r="K393" s="187">
        <v>1250</v>
      </c>
      <c r="L393" s="125" t="s">
        <v>776</v>
      </c>
      <c r="M393" s="125"/>
      <c r="N393" s="168">
        <f>G393*L393</f>
        <v>1658250</v>
      </c>
      <c r="O393" s="91">
        <v>41821</v>
      </c>
      <c r="P393" s="69"/>
      <c r="Q393" s="69"/>
      <c r="R393" s="69"/>
      <c r="S393" s="69"/>
      <c r="T393" s="69"/>
      <c r="U393" s="69"/>
      <c r="V393" s="69"/>
      <c r="W393" s="69"/>
    </row>
    <row r="394" spans="1:23" s="72" customFormat="1" ht="60" customHeight="1" x14ac:dyDescent="0.25">
      <c r="A394" s="221"/>
      <c r="B394" s="221"/>
      <c r="C394" s="221"/>
      <c r="D394" s="232"/>
      <c r="E394" s="193"/>
      <c r="F394" s="218"/>
      <c r="G394" s="77">
        <v>9000</v>
      </c>
      <c r="H394" s="77" t="s">
        <v>102</v>
      </c>
      <c r="I394" s="197"/>
      <c r="J394" s="201"/>
      <c r="K394" s="189"/>
      <c r="L394" s="125" t="s">
        <v>776</v>
      </c>
      <c r="M394" s="125"/>
      <c r="N394" s="168">
        <f>G394*L394</f>
        <v>1658250</v>
      </c>
      <c r="O394" s="91">
        <v>41822</v>
      </c>
      <c r="P394" s="69"/>
      <c r="Q394" s="69"/>
      <c r="R394" s="69"/>
      <c r="S394" s="69"/>
      <c r="T394" s="69"/>
      <c r="U394" s="69"/>
      <c r="V394" s="69"/>
      <c r="W394" s="69"/>
    </row>
    <row r="395" spans="1:23" s="72" customFormat="1" ht="54.6" customHeight="1" x14ac:dyDescent="0.25">
      <c r="A395" s="118"/>
      <c r="B395" s="118" t="s">
        <v>1196</v>
      </c>
      <c r="C395" s="118">
        <v>1999</v>
      </c>
      <c r="D395" s="162" t="s">
        <v>1326</v>
      </c>
      <c r="E395" s="158">
        <v>2014</v>
      </c>
      <c r="F395" s="166" t="s">
        <v>1197</v>
      </c>
      <c r="G395" s="77">
        <f>N395/L395</f>
        <v>12522.192070619007</v>
      </c>
      <c r="H395" s="77" t="s">
        <v>1327</v>
      </c>
      <c r="I395" s="141" t="s">
        <v>720</v>
      </c>
      <c r="J395" s="142">
        <v>338</v>
      </c>
      <c r="K395" s="143">
        <v>1251</v>
      </c>
      <c r="L395" s="125" t="s">
        <v>821</v>
      </c>
      <c r="M395" s="125" t="s">
        <v>1328</v>
      </c>
      <c r="N395" s="168">
        <f>9153.48*M395</f>
        <v>2298072.6888000001</v>
      </c>
      <c r="O395" s="91">
        <v>41822</v>
      </c>
      <c r="P395" s="69"/>
      <c r="Q395" s="69"/>
      <c r="R395" s="69"/>
      <c r="S395" s="69"/>
      <c r="T395" s="69"/>
      <c r="U395" s="69"/>
      <c r="V395" s="69"/>
      <c r="W395" s="69"/>
    </row>
    <row r="396" spans="1:23" ht="55.2" customHeight="1" x14ac:dyDescent="0.25">
      <c r="A396" s="74">
        <v>911</v>
      </c>
      <c r="B396" s="75" t="s">
        <v>811</v>
      </c>
      <c r="C396" s="75">
        <v>1997</v>
      </c>
      <c r="D396" s="158" t="s">
        <v>155</v>
      </c>
      <c r="E396" s="160">
        <v>2014</v>
      </c>
      <c r="F396" s="160" t="s">
        <v>240</v>
      </c>
      <c r="G396" s="77">
        <v>9000</v>
      </c>
      <c r="H396" s="77" t="s">
        <v>102</v>
      </c>
      <c r="I396" s="92" t="s">
        <v>720</v>
      </c>
      <c r="J396" s="79">
        <v>339</v>
      </c>
      <c r="K396" s="124">
        <v>1252</v>
      </c>
      <c r="L396" s="125" t="s">
        <v>812</v>
      </c>
      <c r="M396" s="125"/>
      <c r="N396" s="168">
        <f t="shared" ref="N396:N412" si="5">G396*L396</f>
        <v>1659150</v>
      </c>
      <c r="O396" s="91">
        <v>41823</v>
      </c>
      <c r="P396" s="69"/>
      <c r="Q396" s="69"/>
      <c r="R396" s="69"/>
      <c r="S396" s="69"/>
      <c r="T396" s="69"/>
      <c r="U396" s="69"/>
      <c r="V396" s="69"/>
      <c r="W396" s="69"/>
    </row>
    <row r="397" spans="1:23" s="72" customFormat="1" ht="42" customHeight="1" x14ac:dyDescent="0.25">
      <c r="A397" s="74">
        <v>912</v>
      </c>
      <c r="B397" s="75" t="s">
        <v>813</v>
      </c>
      <c r="C397" s="75">
        <v>2009</v>
      </c>
      <c r="D397" s="158" t="s">
        <v>1131</v>
      </c>
      <c r="E397" s="160">
        <v>2014</v>
      </c>
      <c r="F397" s="160" t="s">
        <v>238</v>
      </c>
      <c r="G397" s="77">
        <v>5000</v>
      </c>
      <c r="H397" s="77" t="s">
        <v>273</v>
      </c>
      <c r="I397" s="92" t="s">
        <v>720</v>
      </c>
      <c r="J397" s="79">
        <v>340</v>
      </c>
      <c r="K397" s="124">
        <v>1253</v>
      </c>
      <c r="L397" s="125" t="s">
        <v>812</v>
      </c>
      <c r="M397" s="125"/>
      <c r="N397" s="168">
        <f t="shared" si="5"/>
        <v>921750</v>
      </c>
      <c r="O397" s="91">
        <v>41823</v>
      </c>
      <c r="P397" s="69"/>
      <c r="Q397" s="69"/>
      <c r="R397" s="69"/>
      <c r="S397" s="69"/>
      <c r="T397" s="69"/>
      <c r="U397" s="69"/>
      <c r="V397" s="69"/>
      <c r="W397" s="69"/>
    </row>
    <row r="398" spans="1:23" s="72" customFormat="1" ht="54" customHeight="1" x14ac:dyDescent="0.25">
      <c r="A398" s="116"/>
      <c r="B398" s="82" t="s">
        <v>1265</v>
      </c>
      <c r="C398" s="82">
        <v>2005</v>
      </c>
      <c r="D398" s="160" t="s">
        <v>46</v>
      </c>
      <c r="E398" s="157">
        <v>2014</v>
      </c>
      <c r="F398" s="160" t="s">
        <v>293</v>
      </c>
      <c r="G398" s="77">
        <v>3894</v>
      </c>
      <c r="H398" s="77" t="s">
        <v>1266</v>
      </c>
      <c r="I398" s="144" t="s">
        <v>41</v>
      </c>
      <c r="J398" s="107">
        <v>341</v>
      </c>
      <c r="K398" s="145">
        <v>1254</v>
      </c>
      <c r="L398" s="125" t="s">
        <v>812</v>
      </c>
      <c r="M398" s="125"/>
      <c r="N398" s="168">
        <f t="shared" si="5"/>
        <v>717858.9</v>
      </c>
      <c r="O398" s="91">
        <v>41832</v>
      </c>
      <c r="P398" s="69"/>
      <c r="Q398" s="69"/>
      <c r="R398" s="69"/>
      <c r="S398" s="69"/>
      <c r="T398" s="69"/>
      <c r="U398" s="69"/>
      <c r="V398" s="69"/>
      <c r="W398" s="69"/>
    </row>
    <row r="399" spans="1:23" s="72" customFormat="1" ht="54" customHeight="1" x14ac:dyDescent="0.25">
      <c r="A399" s="116"/>
      <c r="B399" s="82" t="s">
        <v>1267</v>
      </c>
      <c r="C399" s="82">
        <v>2010</v>
      </c>
      <c r="D399" s="160" t="s">
        <v>46</v>
      </c>
      <c r="E399" s="157">
        <v>2014</v>
      </c>
      <c r="F399" s="160" t="s">
        <v>293</v>
      </c>
      <c r="G399" s="77">
        <v>3894</v>
      </c>
      <c r="H399" s="77" t="s">
        <v>1266</v>
      </c>
      <c r="I399" s="144" t="s">
        <v>41</v>
      </c>
      <c r="J399" s="107">
        <v>342</v>
      </c>
      <c r="K399" s="145">
        <v>1255</v>
      </c>
      <c r="L399" s="125" t="s">
        <v>812</v>
      </c>
      <c r="M399" s="125"/>
      <c r="N399" s="168">
        <f t="shared" si="5"/>
        <v>717858.9</v>
      </c>
      <c r="O399" s="91">
        <v>41832</v>
      </c>
      <c r="P399" s="69"/>
      <c r="Q399" s="69"/>
      <c r="R399" s="69"/>
      <c r="S399" s="69"/>
      <c r="T399" s="69"/>
      <c r="U399" s="69"/>
      <c r="V399" s="69"/>
      <c r="W399" s="69"/>
    </row>
    <row r="400" spans="1:23" s="72" customFormat="1" ht="28.5" customHeight="1" x14ac:dyDescent="0.25">
      <c r="A400" s="220">
        <v>913</v>
      </c>
      <c r="B400" s="191" t="s">
        <v>814</v>
      </c>
      <c r="C400" s="191">
        <v>2002</v>
      </c>
      <c r="D400" s="191" t="s">
        <v>815</v>
      </c>
      <c r="E400" s="191">
        <v>2014</v>
      </c>
      <c r="F400" s="191" t="s">
        <v>238</v>
      </c>
      <c r="G400" s="77">
        <v>1620</v>
      </c>
      <c r="H400" s="77" t="s">
        <v>816</v>
      </c>
      <c r="I400" s="196" t="s">
        <v>818</v>
      </c>
      <c r="J400" s="199">
        <v>343</v>
      </c>
      <c r="K400" s="187">
        <v>1256</v>
      </c>
      <c r="L400" s="125" t="s">
        <v>817</v>
      </c>
      <c r="M400" s="125"/>
      <c r="N400" s="168">
        <f t="shared" si="5"/>
        <v>298728</v>
      </c>
      <c r="O400" s="91">
        <v>41835</v>
      </c>
      <c r="P400" s="69"/>
      <c r="Q400" s="69"/>
      <c r="R400" s="69"/>
      <c r="S400" s="69"/>
      <c r="T400" s="69"/>
      <c r="U400" s="69"/>
      <c r="V400" s="69"/>
      <c r="W400" s="69"/>
    </row>
    <row r="401" spans="1:23" s="72" customFormat="1" ht="36.75" customHeight="1" x14ac:dyDescent="0.25">
      <c r="A401" s="221"/>
      <c r="B401" s="193"/>
      <c r="C401" s="193"/>
      <c r="D401" s="193"/>
      <c r="E401" s="193"/>
      <c r="F401" s="193"/>
      <c r="G401" s="77">
        <v>9000</v>
      </c>
      <c r="H401" s="77" t="s">
        <v>102</v>
      </c>
      <c r="I401" s="197"/>
      <c r="J401" s="201"/>
      <c r="K401" s="189"/>
      <c r="L401" s="125" t="s">
        <v>817</v>
      </c>
      <c r="M401" s="125"/>
      <c r="N401" s="168">
        <f t="shared" si="5"/>
        <v>1659600</v>
      </c>
      <c r="O401" s="91">
        <v>41843</v>
      </c>
      <c r="P401" s="69"/>
      <c r="Q401" s="69"/>
      <c r="R401" s="69"/>
      <c r="S401" s="69"/>
      <c r="T401" s="69"/>
      <c r="U401" s="69"/>
      <c r="V401" s="69"/>
      <c r="W401" s="69"/>
    </row>
    <row r="402" spans="1:23" ht="56.4" customHeight="1" x14ac:dyDescent="0.25">
      <c r="A402" s="74"/>
      <c r="B402" s="75" t="s">
        <v>819</v>
      </c>
      <c r="C402" s="75">
        <v>2006</v>
      </c>
      <c r="D402" s="160" t="s">
        <v>406</v>
      </c>
      <c r="E402" s="160" t="s">
        <v>364</v>
      </c>
      <c r="F402" s="160" t="s">
        <v>36</v>
      </c>
      <c r="G402" s="77">
        <f>4971.28*M402/L402</f>
        <v>6870.1832693984297</v>
      </c>
      <c r="H402" s="77" t="s">
        <v>820</v>
      </c>
      <c r="I402" s="92" t="s">
        <v>720</v>
      </c>
      <c r="J402" s="79">
        <v>344</v>
      </c>
      <c r="K402" s="124">
        <v>1257</v>
      </c>
      <c r="L402" s="125" t="s">
        <v>821</v>
      </c>
      <c r="M402" s="125" t="s">
        <v>822</v>
      </c>
      <c r="N402" s="168">
        <f t="shared" si="5"/>
        <v>1260816.0336</v>
      </c>
      <c r="O402" s="91">
        <v>41835</v>
      </c>
      <c r="P402" s="69"/>
      <c r="Q402" s="69"/>
      <c r="R402" s="69"/>
      <c r="S402" s="69"/>
      <c r="T402" s="69"/>
      <c r="U402" s="69"/>
      <c r="V402" s="69"/>
      <c r="W402" s="69"/>
    </row>
    <row r="403" spans="1:23" ht="34.950000000000003" customHeight="1" x14ac:dyDescent="0.25">
      <c r="A403" s="74">
        <v>914</v>
      </c>
      <c r="B403" s="75" t="s">
        <v>823</v>
      </c>
      <c r="C403" s="75">
        <v>2005</v>
      </c>
      <c r="D403" s="161" t="s">
        <v>824</v>
      </c>
      <c r="E403" s="160">
        <v>2014</v>
      </c>
      <c r="F403" s="160" t="s">
        <v>240</v>
      </c>
      <c r="G403" s="77">
        <v>9000</v>
      </c>
      <c r="H403" s="77" t="s">
        <v>102</v>
      </c>
      <c r="I403" s="92" t="s">
        <v>720</v>
      </c>
      <c r="J403" s="79">
        <v>345</v>
      </c>
      <c r="K403" s="124">
        <v>1258</v>
      </c>
      <c r="L403" s="125" t="s">
        <v>817</v>
      </c>
      <c r="M403" s="125"/>
      <c r="N403" s="168">
        <f t="shared" si="5"/>
        <v>1659600</v>
      </c>
      <c r="O403" s="91">
        <v>41835</v>
      </c>
      <c r="P403" s="69"/>
      <c r="Q403" s="69"/>
      <c r="R403" s="69"/>
      <c r="S403" s="69"/>
      <c r="T403" s="69"/>
      <c r="U403" s="69"/>
      <c r="V403" s="69"/>
      <c r="W403" s="69"/>
    </row>
    <row r="404" spans="1:23" ht="27.6" customHeight="1" x14ac:dyDescent="0.25">
      <c r="A404" s="220"/>
      <c r="B404" s="191" t="s">
        <v>302</v>
      </c>
      <c r="C404" s="191">
        <v>1999</v>
      </c>
      <c r="D404" s="229" t="s">
        <v>319</v>
      </c>
      <c r="E404" s="191" t="s">
        <v>301</v>
      </c>
      <c r="F404" s="191" t="s">
        <v>240</v>
      </c>
      <c r="G404" s="77">
        <v>9000</v>
      </c>
      <c r="H404" s="77" t="s">
        <v>102</v>
      </c>
      <c r="I404" s="196" t="s">
        <v>720</v>
      </c>
      <c r="J404" s="199">
        <v>346</v>
      </c>
      <c r="K404" s="187">
        <v>1259</v>
      </c>
      <c r="L404" s="125" t="s">
        <v>817</v>
      </c>
      <c r="M404" s="125"/>
      <c r="N404" s="168">
        <f t="shared" si="5"/>
        <v>1659600</v>
      </c>
      <c r="O404" s="91">
        <v>41835</v>
      </c>
      <c r="P404" s="69"/>
      <c r="Q404" s="69"/>
      <c r="R404" s="69"/>
      <c r="S404" s="69"/>
      <c r="T404" s="69"/>
      <c r="U404" s="69"/>
      <c r="V404" s="69"/>
      <c r="W404" s="69"/>
    </row>
    <row r="405" spans="1:23" ht="28.5" customHeight="1" x14ac:dyDescent="0.25">
      <c r="A405" s="221"/>
      <c r="B405" s="193"/>
      <c r="C405" s="193"/>
      <c r="D405" s="218"/>
      <c r="E405" s="193"/>
      <c r="F405" s="193"/>
      <c r="G405" s="77">
        <v>8759.18</v>
      </c>
      <c r="H405" s="77" t="s">
        <v>1230</v>
      </c>
      <c r="I405" s="197"/>
      <c r="J405" s="201"/>
      <c r="K405" s="189"/>
      <c r="L405" s="125" t="s">
        <v>817</v>
      </c>
      <c r="M405" s="125"/>
      <c r="N405" s="168">
        <f t="shared" si="5"/>
        <v>1615192.7920000001</v>
      </c>
      <c r="O405" s="91">
        <v>41836</v>
      </c>
      <c r="P405" s="69"/>
      <c r="Q405" s="69"/>
      <c r="R405" s="69"/>
      <c r="S405" s="69"/>
      <c r="T405" s="69"/>
      <c r="U405" s="69"/>
      <c r="V405" s="69"/>
      <c r="W405" s="69"/>
    </row>
    <row r="406" spans="1:23" s="72" customFormat="1" ht="33.6" customHeight="1" x14ac:dyDescent="0.25">
      <c r="A406" s="220">
        <v>915</v>
      </c>
      <c r="B406" s="191" t="s">
        <v>825</v>
      </c>
      <c r="C406" s="191">
        <v>1999</v>
      </c>
      <c r="D406" s="191" t="s">
        <v>406</v>
      </c>
      <c r="E406" s="191">
        <v>2014</v>
      </c>
      <c r="F406" s="191" t="s">
        <v>36</v>
      </c>
      <c r="G406" s="77">
        <f>6000*M406/L406</f>
        <v>8291.8482999128155</v>
      </c>
      <c r="H406" s="77" t="s">
        <v>784</v>
      </c>
      <c r="I406" s="196" t="s">
        <v>1187</v>
      </c>
      <c r="J406" s="199">
        <v>347</v>
      </c>
      <c r="K406" s="187">
        <v>1260</v>
      </c>
      <c r="L406" s="125" t="s">
        <v>821</v>
      </c>
      <c r="M406" s="125" t="s">
        <v>822</v>
      </c>
      <c r="N406" s="168">
        <f t="shared" si="5"/>
        <v>1521720</v>
      </c>
      <c r="O406" s="91">
        <v>41835</v>
      </c>
      <c r="P406" s="69"/>
      <c r="Q406" s="69"/>
      <c r="R406" s="69"/>
      <c r="S406" s="69"/>
      <c r="T406" s="69"/>
      <c r="U406" s="69"/>
      <c r="V406" s="69"/>
      <c r="W406" s="69"/>
    </row>
    <row r="407" spans="1:23" s="72" customFormat="1" ht="33.6" customHeight="1" x14ac:dyDescent="0.25">
      <c r="A407" s="221"/>
      <c r="B407" s="193"/>
      <c r="C407" s="193"/>
      <c r="D407" s="193"/>
      <c r="E407" s="193"/>
      <c r="F407" s="193"/>
      <c r="G407" s="77">
        <f>3153.48*M407/L407</f>
        <v>4342.2209895379247</v>
      </c>
      <c r="H407" s="77" t="s">
        <v>834</v>
      </c>
      <c r="I407" s="197"/>
      <c r="J407" s="201"/>
      <c r="K407" s="189"/>
      <c r="L407" s="125" t="s">
        <v>821</v>
      </c>
      <c r="M407" s="125" t="s">
        <v>835</v>
      </c>
      <c r="N407" s="168">
        <f t="shared" si="5"/>
        <v>796884.39599999995</v>
      </c>
      <c r="O407" s="91">
        <v>41836</v>
      </c>
      <c r="P407" s="69"/>
      <c r="Q407" s="69"/>
      <c r="R407" s="69"/>
      <c r="S407" s="69"/>
      <c r="T407" s="69"/>
      <c r="U407" s="69"/>
      <c r="V407" s="69"/>
      <c r="W407" s="69"/>
    </row>
    <row r="408" spans="1:23" ht="20.25" customHeight="1" x14ac:dyDescent="0.25">
      <c r="A408" s="220"/>
      <c r="B408" s="191" t="s">
        <v>460</v>
      </c>
      <c r="C408" s="191">
        <v>1998</v>
      </c>
      <c r="D408" s="191" t="s">
        <v>461</v>
      </c>
      <c r="E408" s="191">
        <v>2014</v>
      </c>
      <c r="F408" s="191" t="s">
        <v>240</v>
      </c>
      <c r="G408" s="77">
        <v>9000</v>
      </c>
      <c r="H408" s="77" t="s">
        <v>102</v>
      </c>
      <c r="I408" s="196" t="s">
        <v>851</v>
      </c>
      <c r="J408" s="199">
        <v>348</v>
      </c>
      <c r="K408" s="187">
        <v>1261</v>
      </c>
      <c r="L408" s="125" t="s">
        <v>817</v>
      </c>
      <c r="M408" s="125"/>
      <c r="N408" s="168">
        <f t="shared" si="5"/>
        <v>1659600</v>
      </c>
      <c r="O408" s="91">
        <v>41835</v>
      </c>
      <c r="P408" s="69"/>
      <c r="Q408" s="69"/>
      <c r="R408" s="69"/>
      <c r="S408" s="69"/>
      <c r="T408" s="69"/>
      <c r="U408" s="69"/>
      <c r="V408" s="69"/>
      <c r="W408" s="69"/>
    </row>
    <row r="409" spans="1:23" ht="17.25" customHeight="1" x14ac:dyDescent="0.25">
      <c r="A409" s="228"/>
      <c r="B409" s="192"/>
      <c r="C409" s="192"/>
      <c r="D409" s="192"/>
      <c r="E409" s="192"/>
      <c r="F409" s="194"/>
      <c r="G409" s="77">
        <v>9000</v>
      </c>
      <c r="H409" s="77" t="s">
        <v>102</v>
      </c>
      <c r="I409" s="198"/>
      <c r="J409" s="200"/>
      <c r="K409" s="188"/>
      <c r="L409" s="125" t="s">
        <v>817</v>
      </c>
      <c r="M409" s="125"/>
      <c r="N409" s="168">
        <f t="shared" si="5"/>
        <v>1659600</v>
      </c>
      <c r="O409" s="91">
        <v>41836</v>
      </c>
      <c r="P409" s="69"/>
      <c r="Q409" s="69"/>
      <c r="R409" s="69"/>
      <c r="S409" s="69"/>
      <c r="T409" s="69"/>
      <c r="U409" s="69"/>
      <c r="V409" s="69"/>
      <c r="W409" s="69"/>
    </row>
    <row r="410" spans="1:23" ht="16.5" customHeight="1" x14ac:dyDescent="0.25">
      <c r="A410" s="228"/>
      <c r="B410" s="192"/>
      <c r="C410" s="192"/>
      <c r="D410" s="192"/>
      <c r="E410" s="192"/>
      <c r="F410" s="194"/>
      <c r="G410" s="77">
        <v>9000</v>
      </c>
      <c r="H410" s="77" t="s">
        <v>102</v>
      </c>
      <c r="I410" s="198"/>
      <c r="J410" s="200"/>
      <c r="K410" s="188"/>
      <c r="L410" s="125" t="s">
        <v>817</v>
      </c>
      <c r="M410" s="125"/>
      <c r="N410" s="168">
        <f t="shared" si="5"/>
        <v>1659600</v>
      </c>
      <c r="O410" s="91">
        <v>41841</v>
      </c>
      <c r="P410" s="69"/>
      <c r="Q410" s="69"/>
      <c r="R410" s="69"/>
      <c r="S410" s="69"/>
      <c r="T410" s="69"/>
      <c r="U410" s="69"/>
      <c r="V410" s="69"/>
      <c r="W410" s="69"/>
    </row>
    <row r="411" spans="1:23" ht="16.5" customHeight="1" x14ac:dyDescent="0.25">
      <c r="A411" s="221"/>
      <c r="B411" s="193"/>
      <c r="C411" s="193"/>
      <c r="D411" s="193"/>
      <c r="E411" s="193"/>
      <c r="F411" s="195"/>
      <c r="G411" s="77">
        <v>8000</v>
      </c>
      <c r="H411" s="77" t="s">
        <v>843</v>
      </c>
      <c r="I411" s="197"/>
      <c r="J411" s="201"/>
      <c r="K411" s="189"/>
      <c r="L411" s="125" t="s">
        <v>844</v>
      </c>
      <c r="M411" s="125"/>
      <c r="N411" s="168">
        <f t="shared" si="5"/>
        <v>1478400</v>
      </c>
      <c r="O411" s="91">
        <v>41842</v>
      </c>
      <c r="P411" s="69"/>
      <c r="Q411" s="69"/>
      <c r="R411" s="69"/>
      <c r="S411" s="69"/>
      <c r="T411" s="69"/>
      <c r="U411" s="69"/>
      <c r="V411" s="69"/>
      <c r="W411" s="69"/>
    </row>
    <row r="412" spans="1:23" ht="86.4" customHeight="1" x14ac:dyDescent="0.25">
      <c r="A412" s="74"/>
      <c r="B412" s="75" t="s">
        <v>122</v>
      </c>
      <c r="C412" s="75">
        <v>2011</v>
      </c>
      <c r="D412" s="160" t="s">
        <v>123</v>
      </c>
      <c r="E412" s="160" t="s">
        <v>852</v>
      </c>
      <c r="F412" s="120" t="s">
        <v>423</v>
      </c>
      <c r="G412" s="77">
        <v>9000</v>
      </c>
      <c r="H412" s="77" t="s">
        <v>102</v>
      </c>
      <c r="I412" s="92" t="s">
        <v>720</v>
      </c>
      <c r="J412" s="79">
        <v>349</v>
      </c>
      <c r="K412" s="124">
        <v>1262</v>
      </c>
      <c r="L412" s="125" t="s">
        <v>817</v>
      </c>
      <c r="M412" s="125"/>
      <c r="N412" s="168">
        <f t="shared" si="5"/>
        <v>1659600</v>
      </c>
      <c r="O412" s="91">
        <v>41835</v>
      </c>
      <c r="P412" s="69"/>
      <c r="Q412" s="69"/>
      <c r="R412" s="69"/>
      <c r="S412" s="69"/>
      <c r="T412" s="69"/>
      <c r="U412" s="69"/>
      <c r="V412" s="69"/>
      <c r="W412" s="69"/>
    </row>
    <row r="413" spans="1:23" s="72" customFormat="1" ht="65.25" customHeight="1" x14ac:dyDescent="0.25">
      <c r="A413" s="74"/>
      <c r="B413" s="75" t="s">
        <v>826</v>
      </c>
      <c r="C413" s="75">
        <v>2008</v>
      </c>
      <c r="D413" s="93" t="s">
        <v>17</v>
      </c>
      <c r="E413" s="160" t="s">
        <v>828</v>
      </c>
      <c r="F413" s="93" t="s">
        <v>18</v>
      </c>
      <c r="G413" s="77">
        <f>N413/L413</f>
        <v>1472.5198888404534</v>
      </c>
      <c r="H413" s="77" t="s">
        <v>829</v>
      </c>
      <c r="I413" s="92" t="s">
        <v>720</v>
      </c>
      <c r="J413" s="79">
        <v>350</v>
      </c>
      <c r="K413" s="124">
        <v>1263</v>
      </c>
      <c r="L413" s="125" t="s">
        <v>821</v>
      </c>
      <c r="M413" s="125" t="s">
        <v>830</v>
      </c>
      <c r="N413" s="168">
        <f>49850*M413</f>
        <v>270236.85000000003</v>
      </c>
      <c r="O413" s="91">
        <v>41835</v>
      </c>
      <c r="P413" s="69"/>
      <c r="Q413" s="69"/>
      <c r="R413" s="69"/>
      <c r="S413" s="69"/>
      <c r="T413" s="69"/>
      <c r="U413" s="69"/>
      <c r="V413" s="69"/>
      <c r="W413" s="69"/>
    </row>
    <row r="414" spans="1:23" ht="66.75" customHeight="1" x14ac:dyDescent="0.25">
      <c r="A414" s="74"/>
      <c r="B414" s="75" t="s">
        <v>37</v>
      </c>
      <c r="C414" s="75">
        <v>2008</v>
      </c>
      <c r="D414" s="93" t="s">
        <v>17</v>
      </c>
      <c r="E414" s="160" t="s">
        <v>828</v>
      </c>
      <c r="F414" s="93" t="s">
        <v>18</v>
      </c>
      <c r="G414" s="77">
        <f>N414/L414</f>
        <v>1133.1166085440277</v>
      </c>
      <c r="H414" s="77" t="s">
        <v>831</v>
      </c>
      <c r="I414" s="92" t="s">
        <v>720</v>
      </c>
      <c r="J414" s="79">
        <v>351</v>
      </c>
      <c r="K414" s="124">
        <v>1264</v>
      </c>
      <c r="L414" s="125" t="s">
        <v>821</v>
      </c>
      <c r="M414" s="125" t="s">
        <v>830</v>
      </c>
      <c r="N414" s="168">
        <f>38360*M414</f>
        <v>207949.56</v>
      </c>
      <c r="O414" s="91">
        <v>41835</v>
      </c>
      <c r="P414" s="69"/>
      <c r="Q414" s="69"/>
      <c r="R414" s="69"/>
      <c r="S414" s="69"/>
      <c r="T414" s="69"/>
      <c r="U414" s="69"/>
      <c r="V414" s="69"/>
      <c r="W414" s="69"/>
    </row>
    <row r="415" spans="1:23" ht="25.5" customHeight="1" x14ac:dyDescent="0.25">
      <c r="A415" s="220"/>
      <c r="B415" s="191" t="s">
        <v>249</v>
      </c>
      <c r="C415" s="191">
        <v>2010</v>
      </c>
      <c r="D415" s="229" t="s">
        <v>254</v>
      </c>
      <c r="E415" s="191" t="s">
        <v>827</v>
      </c>
      <c r="F415" s="229" t="s">
        <v>255</v>
      </c>
      <c r="G415" s="77">
        <v>9000</v>
      </c>
      <c r="H415" s="77" t="s">
        <v>102</v>
      </c>
      <c r="I415" s="196" t="s">
        <v>720</v>
      </c>
      <c r="J415" s="199">
        <v>352</v>
      </c>
      <c r="K415" s="187">
        <v>1265</v>
      </c>
      <c r="L415" s="125" t="s">
        <v>817</v>
      </c>
      <c r="M415" s="125"/>
      <c r="N415" s="168">
        <f>G415*L415</f>
        <v>1659600</v>
      </c>
      <c r="O415" s="91">
        <v>41835</v>
      </c>
      <c r="P415" s="69"/>
      <c r="Q415" s="69"/>
      <c r="R415" s="69"/>
      <c r="S415" s="69"/>
      <c r="T415" s="69"/>
      <c r="U415" s="69"/>
      <c r="V415" s="69"/>
      <c r="W415" s="69"/>
    </row>
    <row r="416" spans="1:23" ht="25.2" customHeight="1" x14ac:dyDescent="0.25">
      <c r="A416" s="228"/>
      <c r="B416" s="192"/>
      <c r="C416" s="192"/>
      <c r="D416" s="194"/>
      <c r="E416" s="192"/>
      <c r="F416" s="192"/>
      <c r="G416" s="77">
        <v>3256.75</v>
      </c>
      <c r="H416" s="77" t="s">
        <v>833</v>
      </c>
      <c r="I416" s="198"/>
      <c r="J416" s="200"/>
      <c r="K416" s="188"/>
      <c r="L416" s="125" t="s">
        <v>817</v>
      </c>
      <c r="M416" s="125"/>
      <c r="N416" s="168">
        <f>G416*L416</f>
        <v>600544.70000000007</v>
      </c>
      <c r="O416" s="91">
        <v>41836</v>
      </c>
      <c r="P416" s="69"/>
      <c r="Q416" s="69"/>
      <c r="R416" s="69"/>
      <c r="S416" s="69"/>
      <c r="T416" s="69"/>
      <c r="U416" s="69"/>
      <c r="V416" s="69"/>
      <c r="W416" s="69"/>
    </row>
    <row r="417" spans="1:23" ht="29.4" customHeight="1" x14ac:dyDescent="0.25">
      <c r="A417" s="221"/>
      <c r="B417" s="193"/>
      <c r="C417" s="193"/>
      <c r="D417" s="195"/>
      <c r="E417" s="193"/>
      <c r="F417" s="193"/>
      <c r="G417" s="77">
        <v>341.58</v>
      </c>
      <c r="H417" s="77" t="s">
        <v>836</v>
      </c>
      <c r="I417" s="197"/>
      <c r="J417" s="201"/>
      <c r="K417" s="189"/>
      <c r="L417" s="125" t="s">
        <v>817</v>
      </c>
      <c r="M417" s="125"/>
      <c r="N417" s="168">
        <f>G417*L417</f>
        <v>62987.351999999999</v>
      </c>
      <c r="O417" s="91">
        <v>41837</v>
      </c>
      <c r="P417" s="69"/>
      <c r="Q417" s="69"/>
      <c r="R417" s="69"/>
      <c r="S417" s="69"/>
      <c r="T417" s="69"/>
      <c r="U417" s="69"/>
      <c r="V417" s="69"/>
      <c r="W417" s="69"/>
    </row>
    <row r="418" spans="1:23" s="72" customFormat="1" ht="52.2" customHeight="1" x14ac:dyDescent="0.25">
      <c r="A418" s="74"/>
      <c r="B418" s="75" t="s">
        <v>30</v>
      </c>
      <c r="C418" s="75">
        <v>2005</v>
      </c>
      <c r="D418" s="93" t="s">
        <v>31</v>
      </c>
      <c r="E418" s="160" t="s">
        <v>272</v>
      </c>
      <c r="F418" s="160" t="s">
        <v>202</v>
      </c>
      <c r="G418" s="77">
        <f>N418/L418</f>
        <v>2495.8990573234523</v>
      </c>
      <c r="H418" s="77" t="s">
        <v>832</v>
      </c>
      <c r="I418" s="92" t="s">
        <v>720</v>
      </c>
      <c r="J418" s="79"/>
      <c r="K418" s="124"/>
      <c r="L418" s="125" t="s">
        <v>821</v>
      </c>
      <c r="M418" s="125" t="s">
        <v>830</v>
      </c>
      <c r="N418" s="168">
        <f>84495*M418</f>
        <v>458047.39500000002</v>
      </c>
      <c r="O418" s="91">
        <v>41836</v>
      </c>
      <c r="P418" s="69"/>
      <c r="Q418" s="69"/>
      <c r="R418" s="69"/>
      <c r="S418" s="69"/>
      <c r="T418" s="69"/>
      <c r="U418" s="69"/>
      <c r="V418" s="69"/>
      <c r="W418" s="69"/>
    </row>
    <row r="419" spans="1:23" ht="42" customHeight="1" x14ac:dyDescent="0.25">
      <c r="A419" s="220"/>
      <c r="B419" s="191" t="s">
        <v>126</v>
      </c>
      <c r="C419" s="191">
        <v>2011</v>
      </c>
      <c r="D419" s="255" t="s">
        <v>175</v>
      </c>
      <c r="E419" s="191" t="s">
        <v>272</v>
      </c>
      <c r="F419" s="191" t="s">
        <v>423</v>
      </c>
      <c r="G419" s="209">
        <v>5300</v>
      </c>
      <c r="H419" s="209" t="s">
        <v>1195</v>
      </c>
      <c r="I419" s="196" t="s">
        <v>720</v>
      </c>
      <c r="J419" s="199"/>
      <c r="K419" s="187"/>
      <c r="L419" s="173" t="s">
        <v>817</v>
      </c>
      <c r="M419" s="173"/>
      <c r="N419" s="175">
        <f>G419*L419</f>
        <v>977320</v>
      </c>
      <c r="O419" s="177">
        <v>41836</v>
      </c>
      <c r="P419" s="69"/>
      <c r="Q419" s="69"/>
      <c r="R419" s="69"/>
      <c r="S419" s="69"/>
      <c r="T419" s="69"/>
      <c r="U419" s="69"/>
      <c r="V419" s="69"/>
      <c r="W419" s="69"/>
    </row>
    <row r="420" spans="1:23" ht="55.95" customHeight="1" x14ac:dyDescent="0.25">
      <c r="A420" s="228"/>
      <c r="B420" s="192"/>
      <c r="C420" s="192"/>
      <c r="D420" s="256"/>
      <c r="E420" s="192"/>
      <c r="F420" s="194"/>
      <c r="G420" s="210"/>
      <c r="H420" s="212"/>
      <c r="I420" s="198"/>
      <c r="J420" s="200"/>
      <c r="K420" s="188"/>
      <c r="L420" s="179"/>
      <c r="M420" s="179"/>
      <c r="N420" s="181"/>
      <c r="O420" s="183"/>
      <c r="P420" s="69"/>
      <c r="Q420" s="69"/>
      <c r="R420" s="69"/>
      <c r="S420" s="69"/>
      <c r="T420" s="69"/>
      <c r="U420" s="69"/>
      <c r="V420" s="69"/>
      <c r="W420" s="69"/>
    </row>
    <row r="421" spans="1:23" ht="10.199999999999999" customHeight="1" x14ac:dyDescent="0.25">
      <c r="A421" s="221"/>
      <c r="B421" s="193"/>
      <c r="C421" s="193"/>
      <c r="D421" s="232"/>
      <c r="E421" s="193"/>
      <c r="F421" s="218"/>
      <c r="G421" s="211"/>
      <c r="H421" s="213"/>
      <c r="I421" s="197"/>
      <c r="J421" s="201"/>
      <c r="K421" s="189"/>
      <c r="L421" s="180"/>
      <c r="M421" s="180"/>
      <c r="N421" s="182"/>
      <c r="O421" s="184"/>
      <c r="P421" s="69"/>
      <c r="Q421" s="69"/>
      <c r="R421" s="69"/>
      <c r="S421" s="69"/>
      <c r="T421" s="69"/>
      <c r="U421" s="69"/>
      <c r="V421" s="69"/>
      <c r="W421" s="69"/>
    </row>
    <row r="422" spans="1:23" ht="35.4" customHeight="1" x14ac:dyDescent="0.25">
      <c r="A422" s="74">
        <v>916</v>
      </c>
      <c r="B422" s="75" t="s">
        <v>837</v>
      </c>
      <c r="C422" s="75">
        <v>2013</v>
      </c>
      <c r="D422" s="158" t="s">
        <v>46</v>
      </c>
      <c r="E422" s="160">
        <v>2014</v>
      </c>
      <c r="F422" s="158" t="s">
        <v>299</v>
      </c>
      <c r="G422" s="77">
        <f>201400*M422/L422</f>
        <v>5880.0196163905839</v>
      </c>
      <c r="H422" s="77" t="s">
        <v>838</v>
      </c>
      <c r="I422" s="92" t="s">
        <v>720</v>
      </c>
      <c r="J422" s="79">
        <v>353</v>
      </c>
      <c r="K422" s="124">
        <v>1266</v>
      </c>
      <c r="L422" s="125" t="s">
        <v>821</v>
      </c>
      <c r="M422" s="125" t="s">
        <v>839</v>
      </c>
      <c r="N422" s="168">
        <f>G422*L422</f>
        <v>1079101.2</v>
      </c>
      <c r="O422" s="91">
        <v>41837</v>
      </c>
      <c r="P422" s="69"/>
      <c r="Q422" s="69"/>
      <c r="R422" s="69"/>
      <c r="S422" s="69"/>
      <c r="T422" s="69"/>
      <c r="U422" s="69"/>
      <c r="V422" s="69"/>
      <c r="W422" s="69"/>
    </row>
    <row r="423" spans="1:23" s="72" customFormat="1" ht="111" customHeight="1" x14ac:dyDescent="0.25">
      <c r="A423" s="74"/>
      <c r="B423" s="75" t="s">
        <v>764</v>
      </c>
      <c r="C423" s="75">
        <v>2013</v>
      </c>
      <c r="D423" s="160" t="s">
        <v>1339</v>
      </c>
      <c r="E423" s="160" t="s">
        <v>301</v>
      </c>
      <c r="F423" s="160" t="s">
        <v>765</v>
      </c>
      <c r="G423" s="77">
        <f>N423/L423</f>
        <v>2213.3565823888403</v>
      </c>
      <c r="H423" s="77" t="s">
        <v>840</v>
      </c>
      <c r="I423" s="92" t="s">
        <v>720</v>
      </c>
      <c r="J423" s="79">
        <v>354</v>
      </c>
      <c r="K423" s="124">
        <v>1267</v>
      </c>
      <c r="L423" s="125" t="s">
        <v>821</v>
      </c>
      <c r="M423" s="125" t="s">
        <v>767</v>
      </c>
      <c r="N423" s="168">
        <f>76800*M423</f>
        <v>406195.19999999995</v>
      </c>
      <c r="O423" s="91">
        <v>41838</v>
      </c>
      <c r="P423" s="69"/>
      <c r="Q423" s="69"/>
      <c r="R423" s="69"/>
      <c r="S423" s="69"/>
      <c r="T423" s="69"/>
      <c r="U423" s="69"/>
      <c r="V423" s="69"/>
      <c r="W423" s="69"/>
    </row>
    <row r="424" spans="1:23" ht="42" customHeight="1" x14ac:dyDescent="0.25">
      <c r="A424" s="74"/>
      <c r="B424" s="75" t="s">
        <v>38</v>
      </c>
      <c r="C424" s="75">
        <v>2010</v>
      </c>
      <c r="D424" s="160" t="s">
        <v>239</v>
      </c>
      <c r="E424" s="160" t="s">
        <v>364</v>
      </c>
      <c r="F424" s="93" t="s">
        <v>39</v>
      </c>
      <c r="G424" s="77">
        <f>47590*M424/L424</f>
        <v>1369.4572253705317</v>
      </c>
      <c r="H424" s="77" t="s">
        <v>841</v>
      </c>
      <c r="I424" s="92" t="s">
        <v>720</v>
      </c>
      <c r="J424" s="79">
        <v>355</v>
      </c>
      <c r="K424" s="124">
        <v>1268</v>
      </c>
      <c r="L424" s="125" t="s">
        <v>821</v>
      </c>
      <c r="M424" s="125" t="s">
        <v>842</v>
      </c>
      <c r="N424" s="168">
        <f>G424*L424</f>
        <v>251322.78999999998</v>
      </c>
      <c r="O424" s="91">
        <v>41841</v>
      </c>
      <c r="P424" s="69"/>
      <c r="Q424" s="69"/>
      <c r="R424" s="69"/>
      <c r="S424" s="69"/>
      <c r="T424" s="69"/>
      <c r="U424" s="69"/>
      <c r="V424" s="69"/>
      <c r="W424" s="69"/>
    </row>
    <row r="425" spans="1:23" ht="30" customHeight="1" x14ac:dyDescent="0.25">
      <c r="A425" s="74"/>
      <c r="B425" s="75" t="s">
        <v>698</v>
      </c>
      <c r="C425" s="75">
        <v>2008</v>
      </c>
      <c r="D425" s="158" t="s">
        <v>703</v>
      </c>
      <c r="E425" s="160" t="s">
        <v>301</v>
      </c>
      <c r="F425" s="160" t="s">
        <v>240</v>
      </c>
      <c r="G425" s="77">
        <v>9000</v>
      </c>
      <c r="H425" s="77" t="s">
        <v>102</v>
      </c>
      <c r="I425" s="92" t="s">
        <v>720</v>
      </c>
      <c r="J425" s="79">
        <v>356</v>
      </c>
      <c r="K425" s="124">
        <v>1269</v>
      </c>
      <c r="L425" s="125" t="s">
        <v>844</v>
      </c>
      <c r="M425" s="125"/>
      <c r="N425" s="168">
        <f>G425*L425</f>
        <v>1663200</v>
      </c>
      <c r="O425" s="91">
        <v>41842</v>
      </c>
      <c r="P425" s="69"/>
      <c r="Q425" s="69"/>
      <c r="R425" s="69"/>
      <c r="S425" s="69"/>
      <c r="T425" s="69"/>
      <c r="U425" s="69"/>
      <c r="V425" s="69"/>
      <c r="W425" s="69"/>
    </row>
    <row r="426" spans="1:23" ht="50.4" customHeight="1" x14ac:dyDescent="0.25">
      <c r="A426" s="74"/>
      <c r="B426" s="75" t="s">
        <v>811</v>
      </c>
      <c r="C426" s="75">
        <v>1997</v>
      </c>
      <c r="D426" s="158" t="s">
        <v>155</v>
      </c>
      <c r="E426" s="160" t="s">
        <v>301</v>
      </c>
      <c r="F426" s="160" t="s">
        <v>240</v>
      </c>
      <c r="G426" s="77">
        <v>9000</v>
      </c>
      <c r="H426" s="77" t="s">
        <v>102</v>
      </c>
      <c r="I426" s="92" t="s">
        <v>720</v>
      </c>
      <c r="J426" s="79">
        <v>357</v>
      </c>
      <c r="K426" s="124">
        <v>1270</v>
      </c>
      <c r="L426" s="125" t="s">
        <v>844</v>
      </c>
      <c r="M426" s="125"/>
      <c r="N426" s="168">
        <f>G426*L426</f>
        <v>1663200</v>
      </c>
      <c r="O426" s="91">
        <v>41842</v>
      </c>
      <c r="P426" s="69"/>
      <c r="Q426" s="69"/>
      <c r="R426" s="69"/>
      <c r="S426" s="69"/>
      <c r="T426" s="69"/>
      <c r="U426" s="69"/>
      <c r="V426" s="69"/>
      <c r="W426" s="69"/>
    </row>
    <row r="427" spans="1:23" ht="53.4" customHeight="1" x14ac:dyDescent="0.25">
      <c r="A427" s="74"/>
      <c r="B427" s="75" t="s">
        <v>27</v>
      </c>
      <c r="C427" s="75">
        <v>2011</v>
      </c>
      <c r="D427" s="93" t="s">
        <v>28</v>
      </c>
      <c r="E427" s="160" t="s">
        <v>364</v>
      </c>
      <c r="F427" s="160" t="s">
        <v>845</v>
      </c>
      <c r="G427" s="77">
        <f>N427/L427</f>
        <v>1070.7715359886665</v>
      </c>
      <c r="H427" s="77" t="s">
        <v>1284</v>
      </c>
      <c r="I427" s="92" t="s">
        <v>720</v>
      </c>
      <c r="J427" s="79">
        <v>358</v>
      </c>
      <c r="K427" s="124">
        <v>1271</v>
      </c>
      <c r="L427" s="125" t="s">
        <v>846</v>
      </c>
      <c r="M427" s="125" t="s">
        <v>847</v>
      </c>
      <c r="N427" s="168">
        <f>37100*M427</f>
        <v>196518.69999999998</v>
      </c>
      <c r="O427" s="91">
        <v>41842</v>
      </c>
      <c r="P427" s="69"/>
      <c r="Q427" s="69"/>
      <c r="R427" s="69"/>
      <c r="S427" s="69"/>
      <c r="T427" s="69"/>
      <c r="U427" s="69"/>
      <c r="V427" s="69"/>
      <c r="W427" s="69"/>
    </row>
    <row r="428" spans="1:23" s="72" customFormat="1" ht="27.6" customHeight="1" x14ac:dyDescent="0.25">
      <c r="A428" s="220">
        <v>917</v>
      </c>
      <c r="B428" s="191" t="s">
        <v>848</v>
      </c>
      <c r="C428" s="191">
        <v>2005</v>
      </c>
      <c r="D428" s="229" t="s">
        <v>853</v>
      </c>
      <c r="E428" s="191">
        <v>2014</v>
      </c>
      <c r="F428" s="196" t="s">
        <v>849</v>
      </c>
      <c r="G428" s="77">
        <f>6000*M428/L428</f>
        <v>8189.0699068272215</v>
      </c>
      <c r="H428" s="77" t="s">
        <v>784</v>
      </c>
      <c r="I428" s="92" t="s">
        <v>720</v>
      </c>
      <c r="J428" s="199">
        <v>359</v>
      </c>
      <c r="K428" s="187">
        <v>1272</v>
      </c>
      <c r="L428" s="125" t="s">
        <v>846</v>
      </c>
      <c r="M428" s="125" t="s">
        <v>850</v>
      </c>
      <c r="N428" s="168">
        <f>G428*L428</f>
        <v>1502940</v>
      </c>
      <c r="O428" s="91">
        <v>41843</v>
      </c>
      <c r="P428" s="69"/>
      <c r="Q428" s="69"/>
      <c r="R428" s="69"/>
      <c r="S428" s="69"/>
      <c r="T428" s="69"/>
      <c r="U428" s="69"/>
      <c r="V428" s="69"/>
      <c r="W428" s="69"/>
    </row>
    <row r="429" spans="1:23" s="72" customFormat="1" ht="34.5" customHeight="1" x14ac:dyDescent="0.25">
      <c r="A429" s="221"/>
      <c r="B429" s="193"/>
      <c r="C429" s="193"/>
      <c r="D429" s="193"/>
      <c r="E429" s="193"/>
      <c r="F429" s="197"/>
      <c r="G429" s="77">
        <f>6000*M429/L429</f>
        <v>8189.5161290322576</v>
      </c>
      <c r="H429" s="77" t="s">
        <v>784</v>
      </c>
      <c r="I429" s="92" t="s">
        <v>720</v>
      </c>
      <c r="J429" s="201"/>
      <c r="K429" s="189"/>
      <c r="L429" s="125" t="s">
        <v>821</v>
      </c>
      <c r="M429" s="125" t="s">
        <v>850</v>
      </c>
      <c r="N429" s="168">
        <f>G429*L429</f>
        <v>1502940</v>
      </c>
      <c r="O429" s="91">
        <v>41844</v>
      </c>
      <c r="P429" s="69"/>
      <c r="Q429" s="69"/>
      <c r="R429" s="69"/>
      <c r="S429" s="69"/>
      <c r="T429" s="69"/>
      <c r="U429" s="69"/>
      <c r="V429" s="69"/>
      <c r="W429" s="69"/>
    </row>
    <row r="430" spans="1:23" s="72" customFormat="1" ht="63" customHeight="1" x14ac:dyDescent="0.25">
      <c r="A430" s="118"/>
      <c r="B430" s="85" t="s">
        <v>814</v>
      </c>
      <c r="C430" s="85">
        <v>2002</v>
      </c>
      <c r="D430" s="160" t="s">
        <v>815</v>
      </c>
      <c r="E430" s="158" t="s">
        <v>272</v>
      </c>
      <c r="F430" s="160" t="s">
        <v>238</v>
      </c>
      <c r="G430" s="77">
        <v>9000</v>
      </c>
      <c r="H430" s="77" t="s">
        <v>102</v>
      </c>
      <c r="I430" s="92" t="s">
        <v>818</v>
      </c>
      <c r="J430" s="142"/>
      <c r="K430" s="143"/>
      <c r="L430" s="125" t="s">
        <v>817</v>
      </c>
      <c r="M430" s="125"/>
      <c r="N430" s="168">
        <f>G430*L430</f>
        <v>1659600</v>
      </c>
      <c r="O430" s="91">
        <v>41845</v>
      </c>
      <c r="P430" s="69"/>
      <c r="Q430" s="69"/>
      <c r="R430" s="69"/>
      <c r="S430" s="69"/>
      <c r="T430" s="69"/>
      <c r="U430" s="69"/>
      <c r="V430" s="69"/>
      <c r="W430" s="69"/>
    </row>
    <row r="431" spans="1:23" s="72" customFormat="1" ht="53.25" customHeight="1" x14ac:dyDescent="0.25">
      <c r="A431" s="118"/>
      <c r="B431" s="85" t="s">
        <v>848</v>
      </c>
      <c r="C431" s="85">
        <v>2005</v>
      </c>
      <c r="D431" s="160" t="s">
        <v>853</v>
      </c>
      <c r="E431" s="158" t="s">
        <v>272</v>
      </c>
      <c r="F431" s="92" t="s">
        <v>849</v>
      </c>
      <c r="G431" s="77">
        <f>3000*M431/L431</f>
        <v>4094.7580645161288</v>
      </c>
      <c r="H431" s="77" t="s">
        <v>854</v>
      </c>
      <c r="I431" s="92" t="s">
        <v>720</v>
      </c>
      <c r="J431" s="142"/>
      <c r="K431" s="143"/>
      <c r="L431" s="125" t="s">
        <v>821</v>
      </c>
      <c r="M431" s="125" t="s">
        <v>850</v>
      </c>
      <c r="N431" s="168">
        <f>3000*M431</f>
        <v>751470</v>
      </c>
      <c r="O431" s="91">
        <v>41845</v>
      </c>
      <c r="P431" s="69"/>
      <c r="Q431" s="69"/>
      <c r="R431" s="69"/>
      <c r="S431" s="69"/>
      <c r="T431" s="69"/>
      <c r="U431" s="69"/>
      <c r="V431" s="69"/>
      <c r="W431" s="69"/>
    </row>
    <row r="432" spans="1:23" s="72" customFormat="1" ht="51.75" customHeight="1" x14ac:dyDescent="0.25">
      <c r="A432" s="118">
        <v>918</v>
      </c>
      <c r="B432" s="85" t="s">
        <v>855</v>
      </c>
      <c r="C432" s="85">
        <v>2005</v>
      </c>
      <c r="D432" s="160" t="s">
        <v>46</v>
      </c>
      <c r="E432" s="158">
        <v>2014</v>
      </c>
      <c r="F432" s="160" t="s">
        <v>293</v>
      </c>
      <c r="G432" s="77">
        <f>3894*M432/L432</f>
        <v>5314.9959677419356</v>
      </c>
      <c r="H432" s="77" t="s">
        <v>247</v>
      </c>
      <c r="I432" s="92" t="s">
        <v>41</v>
      </c>
      <c r="J432" s="142">
        <v>360</v>
      </c>
      <c r="K432" s="143">
        <v>1273</v>
      </c>
      <c r="L432" s="125" t="s">
        <v>821</v>
      </c>
      <c r="M432" s="125" t="s">
        <v>850</v>
      </c>
      <c r="N432" s="168">
        <f>3894*M432</f>
        <v>975408.06</v>
      </c>
      <c r="O432" s="91">
        <v>41845</v>
      </c>
      <c r="P432" s="69"/>
      <c r="Q432" s="69"/>
      <c r="R432" s="69"/>
      <c r="S432" s="69"/>
      <c r="T432" s="69"/>
      <c r="U432" s="69"/>
      <c r="V432" s="69"/>
      <c r="W432" s="69"/>
    </row>
    <row r="433" spans="1:23" s="72" customFormat="1" ht="51.75" customHeight="1" x14ac:dyDescent="0.25">
      <c r="A433" s="118">
        <v>919</v>
      </c>
      <c r="B433" s="85" t="s">
        <v>856</v>
      </c>
      <c r="C433" s="85">
        <v>2005</v>
      </c>
      <c r="D433" s="160" t="s">
        <v>46</v>
      </c>
      <c r="E433" s="158">
        <v>2014</v>
      </c>
      <c r="F433" s="160" t="s">
        <v>293</v>
      </c>
      <c r="G433" s="77">
        <f>3894*M433/L433</f>
        <v>5314.9959677419356</v>
      </c>
      <c r="H433" s="77" t="s">
        <v>247</v>
      </c>
      <c r="I433" s="92" t="s">
        <v>41</v>
      </c>
      <c r="J433" s="142">
        <v>361</v>
      </c>
      <c r="K433" s="143">
        <v>1274</v>
      </c>
      <c r="L433" s="125" t="s">
        <v>821</v>
      </c>
      <c r="M433" s="125" t="s">
        <v>850</v>
      </c>
      <c r="N433" s="168">
        <f>3894*M433</f>
        <v>975408.06</v>
      </c>
      <c r="O433" s="91">
        <v>41845</v>
      </c>
      <c r="P433" s="69"/>
      <c r="Q433" s="69"/>
      <c r="R433" s="69"/>
      <c r="S433" s="69"/>
      <c r="T433" s="69"/>
      <c r="U433" s="69"/>
      <c r="V433" s="69"/>
      <c r="W433" s="69"/>
    </row>
    <row r="434" spans="1:23" s="72" customFormat="1" ht="50.25" customHeight="1" x14ac:dyDescent="0.25">
      <c r="A434" s="118">
        <v>920</v>
      </c>
      <c r="B434" s="85" t="s">
        <v>857</v>
      </c>
      <c r="C434" s="85">
        <v>2011</v>
      </c>
      <c r="D434" s="160" t="s">
        <v>46</v>
      </c>
      <c r="E434" s="158">
        <v>2014</v>
      </c>
      <c r="F434" s="160" t="s">
        <v>293</v>
      </c>
      <c r="G434" s="77">
        <f>3400*M434/L434</f>
        <v>4640.7258064516127</v>
      </c>
      <c r="H434" s="77" t="s">
        <v>246</v>
      </c>
      <c r="I434" s="92" t="s">
        <v>41</v>
      </c>
      <c r="J434" s="142">
        <v>362</v>
      </c>
      <c r="K434" s="143">
        <v>1275</v>
      </c>
      <c r="L434" s="125" t="s">
        <v>821</v>
      </c>
      <c r="M434" s="125" t="s">
        <v>850</v>
      </c>
      <c r="N434" s="168">
        <f>3400*M434</f>
        <v>851666</v>
      </c>
      <c r="O434" s="91">
        <v>41845</v>
      </c>
      <c r="P434" s="69"/>
      <c r="Q434" s="69"/>
      <c r="R434" s="69"/>
      <c r="S434" s="69"/>
      <c r="T434" s="69"/>
      <c r="U434" s="69"/>
      <c r="V434" s="69"/>
      <c r="W434" s="69"/>
    </row>
    <row r="435" spans="1:23" s="72" customFormat="1" ht="51" customHeight="1" x14ac:dyDescent="0.25">
      <c r="A435" s="118">
        <v>921</v>
      </c>
      <c r="B435" s="85" t="s">
        <v>858</v>
      </c>
      <c r="C435" s="85">
        <v>2012</v>
      </c>
      <c r="D435" s="160" t="s">
        <v>46</v>
      </c>
      <c r="E435" s="158">
        <v>2014</v>
      </c>
      <c r="F435" s="160" t="s">
        <v>293</v>
      </c>
      <c r="G435" s="77">
        <f>2360*M435/L435</f>
        <v>3221.2096774193546</v>
      </c>
      <c r="H435" s="77" t="s">
        <v>859</v>
      </c>
      <c r="I435" s="92" t="s">
        <v>41</v>
      </c>
      <c r="J435" s="142">
        <v>363</v>
      </c>
      <c r="K435" s="143">
        <v>1276</v>
      </c>
      <c r="L435" s="125" t="s">
        <v>821</v>
      </c>
      <c r="M435" s="125" t="s">
        <v>850</v>
      </c>
      <c r="N435" s="168">
        <f>2360*M435</f>
        <v>591156.4</v>
      </c>
      <c r="O435" s="91">
        <v>41845</v>
      </c>
      <c r="P435" s="69"/>
      <c r="Q435" s="69"/>
      <c r="R435" s="69"/>
      <c r="S435" s="69"/>
      <c r="T435" s="69"/>
      <c r="U435" s="69"/>
      <c r="V435" s="69"/>
      <c r="W435" s="69"/>
    </row>
    <row r="436" spans="1:23" s="72" customFormat="1" ht="35.4" customHeight="1" x14ac:dyDescent="0.25">
      <c r="A436" s="118">
        <v>922</v>
      </c>
      <c r="B436" s="85" t="s">
        <v>860</v>
      </c>
      <c r="C436" s="85">
        <v>2010</v>
      </c>
      <c r="D436" s="160" t="s">
        <v>46</v>
      </c>
      <c r="E436" s="158">
        <v>2014</v>
      </c>
      <c r="F436" s="165" t="s">
        <v>288</v>
      </c>
      <c r="G436" s="77">
        <f>3751*M436/L436</f>
        <v>5119.8125</v>
      </c>
      <c r="H436" s="77" t="s">
        <v>770</v>
      </c>
      <c r="I436" s="92" t="s">
        <v>41</v>
      </c>
      <c r="J436" s="142">
        <v>364</v>
      </c>
      <c r="K436" s="143">
        <v>1277</v>
      </c>
      <c r="L436" s="125" t="s">
        <v>821</v>
      </c>
      <c r="M436" s="125" t="s">
        <v>850</v>
      </c>
      <c r="N436" s="168">
        <f>3751*M436</f>
        <v>939587.99</v>
      </c>
      <c r="O436" s="91">
        <v>41845</v>
      </c>
      <c r="P436" s="69"/>
      <c r="Q436" s="69"/>
      <c r="R436" s="69"/>
      <c r="S436" s="69"/>
      <c r="T436" s="69"/>
      <c r="U436" s="69"/>
      <c r="V436" s="69"/>
      <c r="W436" s="69"/>
    </row>
    <row r="437" spans="1:23" ht="40.200000000000003" customHeight="1" x14ac:dyDescent="0.25">
      <c r="A437" s="118">
        <v>923</v>
      </c>
      <c r="B437" s="85" t="s">
        <v>861</v>
      </c>
      <c r="C437" s="85">
        <v>2006</v>
      </c>
      <c r="D437" s="160" t="s">
        <v>46</v>
      </c>
      <c r="E437" s="158">
        <v>2014</v>
      </c>
      <c r="F437" s="158" t="s">
        <v>862</v>
      </c>
      <c r="G437" s="77">
        <f>N437/L437</f>
        <v>2550.8772885789012</v>
      </c>
      <c r="H437" s="77" t="s">
        <v>1263</v>
      </c>
      <c r="I437" s="92" t="s">
        <v>41</v>
      </c>
      <c r="J437" s="142">
        <v>365</v>
      </c>
      <c r="K437" s="143">
        <v>1278</v>
      </c>
      <c r="L437" s="125" t="s">
        <v>821</v>
      </c>
      <c r="M437" s="125"/>
      <c r="N437" s="168">
        <v>468137</v>
      </c>
      <c r="O437" s="91">
        <v>41848</v>
      </c>
      <c r="P437" s="69"/>
      <c r="Q437" s="69"/>
      <c r="R437" s="69"/>
      <c r="S437" s="69"/>
      <c r="T437" s="69"/>
      <c r="U437" s="69"/>
      <c r="V437" s="69"/>
      <c r="W437" s="69"/>
    </row>
    <row r="438" spans="1:23" s="72" customFormat="1" ht="53.4" customHeight="1" x14ac:dyDescent="0.25">
      <c r="A438" s="118">
        <v>924</v>
      </c>
      <c r="B438" s="85" t="s">
        <v>863</v>
      </c>
      <c r="C438" s="85">
        <v>2002</v>
      </c>
      <c r="D438" s="160" t="s">
        <v>46</v>
      </c>
      <c r="E438" s="158">
        <v>2014</v>
      </c>
      <c r="F438" s="160" t="s">
        <v>156</v>
      </c>
      <c r="G438" s="77">
        <v>7986</v>
      </c>
      <c r="H438" s="77" t="s">
        <v>864</v>
      </c>
      <c r="I438" s="92" t="s">
        <v>41</v>
      </c>
      <c r="J438" s="142">
        <v>366</v>
      </c>
      <c r="K438" s="143">
        <v>1279</v>
      </c>
      <c r="L438" s="125" t="s">
        <v>817</v>
      </c>
      <c r="M438" s="125"/>
      <c r="N438" s="168">
        <f>G438*L438</f>
        <v>1472618.4000000001</v>
      </c>
      <c r="O438" s="91">
        <v>41848</v>
      </c>
      <c r="P438" s="69"/>
      <c r="Q438" s="69"/>
      <c r="R438" s="69"/>
      <c r="S438" s="69"/>
      <c r="T438" s="69"/>
      <c r="U438" s="69"/>
      <c r="V438" s="69"/>
      <c r="W438" s="69"/>
    </row>
    <row r="439" spans="1:23" ht="42" customHeight="1" x14ac:dyDescent="0.25">
      <c r="A439" s="118">
        <v>925</v>
      </c>
      <c r="B439" s="85" t="s">
        <v>865</v>
      </c>
      <c r="C439" s="85">
        <v>2005</v>
      </c>
      <c r="D439" s="160" t="s">
        <v>46</v>
      </c>
      <c r="E439" s="158">
        <v>2014</v>
      </c>
      <c r="F439" s="160" t="s">
        <v>200</v>
      </c>
      <c r="G439" s="77">
        <v>6803.12</v>
      </c>
      <c r="H439" s="77" t="s">
        <v>1238</v>
      </c>
      <c r="I439" s="92" t="s">
        <v>41</v>
      </c>
      <c r="J439" s="142">
        <v>367</v>
      </c>
      <c r="K439" s="143">
        <v>1280</v>
      </c>
      <c r="L439" s="125" t="s">
        <v>817</v>
      </c>
      <c r="M439" s="125"/>
      <c r="N439" s="168">
        <f>G439*L439</f>
        <v>1254495.328</v>
      </c>
      <c r="O439" s="91">
        <v>41848</v>
      </c>
      <c r="P439" s="69"/>
      <c r="Q439" s="69"/>
      <c r="R439" s="69"/>
      <c r="S439" s="69"/>
      <c r="T439" s="69"/>
      <c r="U439" s="69"/>
      <c r="V439" s="69"/>
      <c r="W439" s="69"/>
    </row>
    <row r="440" spans="1:23" s="72" customFormat="1" ht="53.25" customHeight="1" x14ac:dyDescent="0.25">
      <c r="A440" s="118">
        <v>926</v>
      </c>
      <c r="B440" s="85" t="s">
        <v>866</v>
      </c>
      <c r="C440" s="85">
        <v>2007</v>
      </c>
      <c r="D440" s="158" t="s">
        <v>867</v>
      </c>
      <c r="E440" s="158">
        <v>2014</v>
      </c>
      <c r="F440" s="158" t="s">
        <v>868</v>
      </c>
      <c r="G440" s="77">
        <f>N440/L440</f>
        <v>8425.9851787271145</v>
      </c>
      <c r="H440" s="77" t="s">
        <v>1317</v>
      </c>
      <c r="I440" s="92" t="s">
        <v>720</v>
      </c>
      <c r="J440" s="142">
        <v>368</v>
      </c>
      <c r="K440" s="143">
        <v>1281</v>
      </c>
      <c r="L440" s="125" t="s">
        <v>821</v>
      </c>
      <c r="M440" s="125" t="s">
        <v>869</v>
      </c>
      <c r="N440" s="168">
        <f>293200*M440</f>
        <v>1546336.8</v>
      </c>
      <c r="O440" s="91">
        <v>41848</v>
      </c>
      <c r="P440" s="69"/>
      <c r="Q440" s="69"/>
      <c r="R440" s="69"/>
      <c r="S440" s="69"/>
      <c r="T440" s="69"/>
      <c r="U440" s="69"/>
      <c r="V440" s="69"/>
      <c r="W440" s="69"/>
    </row>
    <row r="441" spans="1:23" s="72" customFormat="1" ht="51.6" customHeight="1" x14ac:dyDescent="0.25">
      <c r="A441" s="118">
        <v>927</v>
      </c>
      <c r="B441" s="85" t="s">
        <v>870</v>
      </c>
      <c r="C441" s="85">
        <v>2009</v>
      </c>
      <c r="D441" s="160" t="s">
        <v>46</v>
      </c>
      <c r="E441" s="158">
        <v>2014</v>
      </c>
      <c r="F441" s="160" t="s">
        <v>293</v>
      </c>
      <c r="G441" s="77">
        <f>3712*M441/L441</f>
        <v>5059.0967741935483</v>
      </c>
      <c r="H441" s="77" t="s">
        <v>871</v>
      </c>
      <c r="I441" s="92" t="s">
        <v>41</v>
      </c>
      <c r="J441" s="142">
        <v>369</v>
      </c>
      <c r="K441" s="143">
        <v>1282</v>
      </c>
      <c r="L441" s="125" t="s">
        <v>821</v>
      </c>
      <c r="M441" s="125" t="s">
        <v>872</v>
      </c>
      <c r="N441" s="168">
        <f>3712*M441</f>
        <v>928445.44000000006</v>
      </c>
      <c r="O441" s="91">
        <v>41848</v>
      </c>
      <c r="P441" s="69"/>
      <c r="Q441" s="69"/>
      <c r="R441" s="69"/>
      <c r="S441" s="69"/>
      <c r="T441" s="69"/>
      <c r="U441" s="69"/>
      <c r="V441" s="69"/>
      <c r="W441" s="69"/>
    </row>
    <row r="442" spans="1:23" s="72" customFormat="1" ht="51" customHeight="1" x14ac:dyDescent="0.25">
      <c r="A442" s="118">
        <v>928</v>
      </c>
      <c r="B442" s="85" t="s">
        <v>873</v>
      </c>
      <c r="C442" s="85">
        <v>2008</v>
      </c>
      <c r="D442" s="160" t="s">
        <v>46</v>
      </c>
      <c r="E442" s="158">
        <v>2014</v>
      </c>
      <c r="F442" s="160" t="s">
        <v>293</v>
      </c>
      <c r="G442" s="77">
        <f>3712*M442/L442</f>
        <v>5059.0967741935483</v>
      </c>
      <c r="H442" s="77" t="s">
        <v>871</v>
      </c>
      <c r="I442" s="92" t="s">
        <v>41</v>
      </c>
      <c r="J442" s="142">
        <v>370</v>
      </c>
      <c r="K442" s="143">
        <v>1283</v>
      </c>
      <c r="L442" s="125" t="s">
        <v>821</v>
      </c>
      <c r="M442" s="125" t="s">
        <v>872</v>
      </c>
      <c r="N442" s="168">
        <f>3712*M442</f>
        <v>928445.44000000006</v>
      </c>
      <c r="O442" s="91">
        <v>41848</v>
      </c>
      <c r="P442" s="69"/>
      <c r="Q442" s="69"/>
      <c r="R442" s="69"/>
      <c r="S442" s="69"/>
      <c r="T442" s="69"/>
      <c r="U442" s="69"/>
      <c r="V442" s="69"/>
      <c r="W442" s="69"/>
    </row>
    <row r="443" spans="1:23" ht="36.6" customHeight="1" x14ac:dyDescent="0.25">
      <c r="A443" s="118">
        <v>929</v>
      </c>
      <c r="B443" s="85" t="s">
        <v>874</v>
      </c>
      <c r="C443" s="85">
        <v>2009</v>
      </c>
      <c r="D443" s="160" t="s">
        <v>46</v>
      </c>
      <c r="E443" s="158">
        <v>2014</v>
      </c>
      <c r="F443" s="158" t="s">
        <v>875</v>
      </c>
      <c r="G443" s="77">
        <f>125700*M443/L443</f>
        <v>3612.3681342632958</v>
      </c>
      <c r="H443" s="77" t="s">
        <v>876</v>
      </c>
      <c r="I443" s="92" t="s">
        <v>41</v>
      </c>
      <c r="J443" s="142">
        <v>371</v>
      </c>
      <c r="K443" s="143">
        <v>1284</v>
      </c>
      <c r="L443" s="125" t="s">
        <v>821</v>
      </c>
      <c r="M443" s="125" t="s">
        <v>869</v>
      </c>
      <c r="N443" s="168">
        <f>125700*M443</f>
        <v>662941.80000000005</v>
      </c>
      <c r="O443" s="91">
        <v>41848</v>
      </c>
      <c r="P443" s="69"/>
      <c r="Q443" s="69"/>
      <c r="R443" s="69"/>
      <c r="S443" s="69"/>
      <c r="T443" s="69"/>
      <c r="U443" s="69"/>
      <c r="V443" s="69"/>
      <c r="W443" s="69"/>
    </row>
    <row r="444" spans="1:23" ht="34.950000000000003" customHeight="1" x14ac:dyDescent="0.25">
      <c r="A444" s="118">
        <v>930</v>
      </c>
      <c r="B444" s="85" t="s">
        <v>877</v>
      </c>
      <c r="C444" s="85">
        <v>2004</v>
      </c>
      <c r="D444" s="160" t="s">
        <v>46</v>
      </c>
      <c r="E444" s="158">
        <v>2014</v>
      </c>
      <c r="F444" s="158" t="s">
        <v>878</v>
      </c>
      <c r="G444" s="77">
        <f>195000*M444/L444</f>
        <v>5603.9123801220576</v>
      </c>
      <c r="H444" s="77" t="s">
        <v>34</v>
      </c>
      <c r="I444" s="92" t="s">
        <v>41</v>
      </c>
      <c r="J444" s="142">
        <v>372</v>
      </c>
      <c r="K444" s="143">
        <v>1285</v>
      </c>
      <c r="L444" s="125" t="s">
        <v>821</v>
      </c>
      <c r="M444" s="125" t="s">
        <v>869</v>
      </c>
      <c r="N444" s="168">
        <f>195000*M444</f>
        <v>1028430</v>
      </c>
      <c r="O444" s="91">
        <v>41848</v>
      </c>
      <c r="P444" s="69"/>
      <c r="Q444" s="69"/>
      <c r="R444" s="69"/>
      <c r="S444" s="69"/>
      <c r="T444" s="69"/>
      <c r="U444" s="69"/>
      <c r="V444" s="69"/>
      <c r="W444" s="69"/>
    </row>
    <row r="445" spans="1:23" s="72" customFormat="1" ht="35.25" customHeight="1" x14ac:dyDescent="0.25">
      <c r="A445" s="118"/>
      <c r="B445" s="85" t="s">
        <v>230</v>
      </c>
      <c r="C445" s="85">
        <v>2010</v>
      </c>
      <c r="D445" s="160" t="s">
        <v>46</v>
      </c>
      <c r="E445" s="158">
        <v>2014</v>
      </c>
      <c r="F445" s="158" t="s">
        <v>328</v>
      </c>
      <c r="G445" s="77">
        <f>239500*M445/L445</f>
        <v>6882.7539232781164</v>
      </c>
      <c r="H445" s="77" t="s">
        <v>879</v>
      </c>
      <c r="I445" s="92" t="s">
        <v>41</v>
      </c>
      <c r="J445" s="142">
        <v>373</v>
      </c>
      <c r="K445" s="143">
        <v>1286</v>
      </c>
      <c r="L445" s="125" t="s">
        <v>821</v>
      </c>
      <c r="M445" s="125" t="s">
        <v>869</v>
      </c>
      <c r="N445" s="168">
        <f>239500*M445</f>
        <v>1263123</v>
      </c>
      <c r="O445" s="91">
        <v>41848</v>
      </c>
      <c r="P445" s="69"/>
      <c r="Q445" s="69"/>
      <c r="R445" s="69"/>
      <c r="S445" s="69"/>
      <c r="T445" s="69"/>
      <c r="U445" s="69"/>
      <c r="V445" s="69"/>
      <c r="W445" s="69"/>
    </row>
    <row r="446" spans="1:23" s="72" customFormat="1" ht="32.4" customHeight="1" x14ac:dyDescent="0.25">
      <c r="A446" s="118">
        <v>931</v>
      </c>
      <c r="B446" s="85" t="s">
        <v>880</v>
      </c>
      <c r="C446" s="85">
        <v>2008</v>
      </c>
      <c r="D446" s="160" t="s">
        <v>46</v>
      </c>
      <c r="E446" s="158">
        <v>2014</v>
      </c>
      <c r="F446" s="158" t="s">
        <v>328</v>
      </c>
      <c r="G446" s="77">
        <f>251400*M446/L446</f>
        <v>7224.7362685265916</v>
      </c>
      <c r="H446" s="77" t="s">
        <v>881</v>
      </c>
      <c r="I446" s="92" t="s">
        <v>41</v>
      </c>
      <c r="J446" s="142">
        <v>374</v>
      </c>
      <c r="K446" s="143">
        <v>1287</v>
      </c>
      <c r="L446" s="125" t="s">
        <v>821</v>
      </c>
      <c r="M446" s="125" t="s">
        <v>869</v>
      </c>
      <c r="N446" s="168">
        <f>251400*M446</f>
        <v>1325883.6000000001</v>
      </c>
      <c r="O446" s="91">
        <v>41848</v>
      </c>
      <c r="P446" s="69"/>
      <c r="Q446" s="69"/>
      <c r="R446" s="69"/>
      <c r="S446" s="69"/>
      <c r="T446" s="69"/>
      <c r="U446" s="69"/>
      <c r="V446" s="69"/>
      <c r="W446" s="69"/>
    </row>
    <row r="447" spans="1:23" s="72" customFormat="1" ht="40.950000000000003" customHeight="1" x14ac:dyDescent="0.25">
      <c r="A447" s="118"/>
      <c r="B447" s="85" t="s">
        <v>160</v>
      </c>
      <c r="C447" s="85">
        <v>2009</v>
      </c>
      <c r="D447" s="160" t="s">
        <v>46</v>
      </c>
      <c r="E447" s="160" t="s">
        <v>466</v>
      </c>
      <c r="F447" s="158" t="s">
        <v>328</v>
      </c>
      <c r="G447" s="77">
        <f>239900*M447/L447</f>
        <v>6894.2491281604189</v>
      </c>
      <c r="H447" s="77" t="s">
        <v>882</v>
      </c>
      <c r="I447" s="92" t="s">
        <v>41</v>
      </c>
      <c r="J447" s="142">
        <v>375</v>
      </c>
      <c r="K447" s="143">
        <v>1288</v>
      </c>
      <c r="L447" s="125" t="s">
        <v>821</v>
      </c>
      <c r="M447" s="125" t="s">
        <v>869</v>
      </c>
      <c r="N447" s="168">
        <f>239900*M447</f>
        <v>1265232.6000000001</v>
      </c>
      <c r="O447" s="91">
        <v>41848</v>
      </c>
      <c r="P447" s="69"/>
      <c r="Q447" s="69"/>
      <c r="R447" s="69"/>
      <c r="S447" s="69"/>
      <c r="T447" s="69"/>
      <c r="U447" s="69"/>
      <c r="V447" s="69"/>
      <c r="W447" s="69"/>
    </row>
    <row r="448" spans="1:23" ht="31.2" customHeight="1" x14ac:dyDescent="0.25">
      <c r="A448" s="118">
        <v>932</v>
      </c>
      <c r="B448" s="85" t="s">
        <v>883</v>
      </c>
      <c r="C448" s="85">
        <v>2006</v>
      </c>
      <c r="D448" s="160" t="s">
        <v>46</v>
      </c>
      <c r="E448" s="160">
        <v>2014</v>
      </c>
      <c r="F448" s="158" t="s">
        <v>884</v>
      </c>
      <c r="G448" s="77">
        <f>111100*M448/L448</f>
        <v>3192.7931560592851</v>
      </c>
      <c r="H448" s="77" t="s">
        <v>440</v>
      </c>
      <c r="I448" s="92" t="s">
        <v>41</v>
      </c>
      <c r="J448" s="142">
        <v>376</v>
      </c>
      <c r="K448" s="143">
        <v>1289</v>
      </c>
      <c r="L448" s="125" t="s">
        <v>821</v>
      </c>
      <c r="M448" s="125" t="s">
        <v>869</v>
      </c>
      <c r="N448" s="168">
        <f>111100*M448</f>
        <v>585941.4</v>
      </c>
      <c r="O448" s="91">
        <v>41848</v>
      </c>
      <c r="P448" s="69"/>
      <c r="Q448" s="69"/>
      <c r="R448" s="69"/>
      <c r="S448" s="69"/>
      <c r="T448" s="69"/>
      <c r="U448" s="69"/>
      <c r="V448" s="69"/>
      <c r="W448" s="69"/>
    </row>
    <row r="449" spans="1:23" ht="34.200000000000003" customHeight="1" x14ac:dyDescent="0.25">
      <c r="A449" s="118"/>
      <c r="B449" s="85" t="s">
        <v>89</v>
      </c>
      <c r="C449" s="85">
        <v>2007</v>
      </c>
      <c r="D449" s="160" t="s">
        <v>46</v>
      </c>
      <c r="E449" s="160" t="s">
        <v>473</v>
      </c>
      <c r="F449" s="158" t="s">
        <v>885</v>
      </c>
      <c r="G449" s="77">
        <f>207910*M449/L449</f>
        <v>5923.9395706190062</v>
      </c>
      <c r="H449" s="77" t="s">
        <v>886</v>
      </c>
      <c r="I449" s="92" t="s">
        <v>41</v>
      </c>
      <c r="J449" s="142">
        <v>377</v>
      </c>
      <c r="K449" s="143">
        <v>1290</v>
      </c>
      <c r="L449" s="125" t="s">
        <v>821</v>
      </c>
      <c r="M449" s="125" t="s">
        <v>887</v>
      </c>
      <c r="N449" s="168">
        <f>207910*M449</f>
        <v>1087161.3900000001</v>
      </c>
      <c r="O449" s="91">
        <v>41849</v>
      </c>
      <c r="P449" s="69"/>
      <c r="Q449" s="69"/>
      <c r="R449" s="69"/>
      <c r="S449" s="69"/>
      <c r="T449" s="69"/>
      <c r="U449" s="69"/>
      <c r="V449" s="69"/>
      <c r="W449" s="69"/>
    </row>
    <row r="450" spans="1:23" ht="42" customHeight="1" x14ac:dyDescent="0.25">
      <c r="A450" s="220">
        <v>933</v>
      </c>
      <c r="B450" s="191" t="s">
        <v>888</v>
      </c>
      <c r="C450" s="191">
        <v>2010</v>
      </c>
      <c r="D450" s="191" t="s">
        <v>889</v>
      </c>
      <c r="E450" s="191">
        <v>2014</v>
      </c>
      <c r="F450" s="191" t="s">
        <v>240</v>
      </c>
      <c r="G450" s="209">
        <v>1810</v>
      </c>
      <c r="H450" s="209" t="s">
        <v>1228</v>
      </c>
      <c r="I450" s="196" t="s">
        <v>720</v>
      </c>
      <c r="J450" s="199">
        <v>378</v>
      </c>
      <c r="K450" s="187">
        <v>1291</v>
      </c>
      <c r="L450" s="173" t="s">
        <v>817</v>
      </c>
      <c r="M450" s="173"/>
      <c r="N450" s="175">
        <f>G450*L450</f>
        <v>333764</v>
      </c>
      <c r="O450" s="177">
        <v>41850</v>
      </c>
      <c r="P450" s="69"/>
      <c r="Q450" s="69"/>
      <c r="R450" s="69"/>
      <c r="S450" s="69"/>
      <c r="T450" s="69"/>
      <c r="U450" s="69"/>
      <c r="V450" s="69"/>
      <c r="W450" s="69"/>
    </row>
    <row r="451" spans="1:23" ht="12.75" customHeight="1" x14ac:dyDescent="0.25">
      <c r="A451" s="221"/>
      <c r="B451" s="193"/>
      <c r="C451" s="193"/>
      <c r="D451" s="193"/>
      <c r="E451" s="193"/>
      <c r="F451" s="195"/>
      <c r="G451" s="211"/>
      <c r="H451" s="213"/>
      <c r="I451" s="197"/>
      <c r="J451" s="201"/>
      <c r="K451" s="189"/>
      <c r="L451" s="180"/>
      <c r="M451" s="180"/>
      <c r="N451" s="182"/>
      <c r="O451" s="184"/>
      <c r="P451" s="69"/>
      <c r="Q451" s="69"/>
      <c r="R451" s="69"/>
      <c r="S451" s="69"/>
      <c r="T451" s="69"/>
      <c r="U451" s="69"/>
      <c r="V451" s="69"/>
      <c r="W451" s="69"/>
    </row>
    <row r="452" spans="1:23" ht="88.2" customHeight="1" x14ac:dyDescent="0.25">
      <c r="A452" s="118"/>
      <c r="B452" s="85" t="s">
        <v>122</v>
      </c>
      <c r="C452" s="85">
        <v>2011</v>
      </c>
      <c r="D452" s="160" t="s">
        <v>123</v>
      </c>
      <c r="E452" s="160" t="s">
        <v>272</v>
      </c>
      <c r="F452" s="120" t="s">
        <v>423</v>
      </c>
      <c r="G452" s="77">
        <v>9000</v>
      </c>
      <c r="H452" s="77" t="s">
        <v>102</v>
      </c>
      <c r="I452" s="92" t="s">
        <v>720</v>
      </c>
      <c r="J452" s="142"/>
      <c r="K452" s="143"/>
      <c r="L452" s="125" t="s">
        <v>817</v>
      </c>
      <c r="M452" s="125"/>
      <c r="N452" s="168">
        <f>G452*L452</f>
        <v>1659600</v>
      </c>
      <c r="O452" s="91">
        <v>41850</v>
      </c>
      <c r="P452" s="69"/>
      <c r="Q452" s="69"/>
      <c r="R452" s="69"/>
      <c r="S452" s="69"/>
      <c r="T452" s="69"/>
      <c r="U452" s="69"/>
      <c r="V452" s="69"/>
      <c r="W452" s="69"/>
    </row>
    <row r="453" spans="1:23" ht="33.6" customHeight="1" x14ac:dyDescent="0.25">
      <c r="A453" s="118">
        <v>934</v>
      </c>
      <c r="B453" s="85" t="s">
        <v>890</v>
      </c>
      <c r="C453" s="85">
        <v>2007</v>
      </c>
      <c r="D453" s="160" t="s">
        <v>46</v>
      </c>
      <c r="E453" s="160">
        <v>2014</v>
      </c>
      <c r="F453" s="158" t="s">
        <v>885</v>
      </c>
      <c r="G453" s="77">
        <f>207910*M453/L453</f>
        <v>5889.631613360214</v>
      </c>
      <c r="H453" s="77" t="s">
        <v>886</v>
      </c>
      <c r="I453" s="92" t="s">
        <v>41</v>
      </c>
      <c r="J453" s="142">
        <v>379</v>
      </c>
      <c r="K453" s="143">
        <v>1292</v>
      </c>
      <c r="L453" s="125" t="s">
        <v>846</v>
      </c>
      <c r="M453" s="125" t="s">
        <v>891</v>
      </c>
      <c r="N453" s="168">
        <f>207910*M453</f>
        <v>1080924.0900000001</v>
      </c>
      <c r="O453" s="91">
        <v>41850</v>
      </c>
      <c r="P453" s="69"/>
      <c r="Q453" s="69"/>
      <c r="R453" s="69"/>
      <c r="S453" s="69"/>
      <c r="T453" s="69"/>
      <c r="U453" s="69"/>
      <c r="V453" s="69"/>
      <c r="W453" s="69"/>
    </row>
    <row r="454" spans="1:23" ht="31.95" customHeight="1" x14ac:dyDescent="0.25">
      <c r="A454" s="118">
        <v>935</v>
      </c>
      <c r="B454" s="85" t="s">
        <v>892</v>
      </c>
      <c r="C454" s="85">
        <v>2009</v>
      </c>
      <c r="D454" s="160" t="s">
        <v>46</v>
      </c>
      <c r="E454" s="160">
        <v>2014</v>
      </c>
      <c r="F454" s="158" t="s">
        <v>875</v>
      </c>
      <c r="G454" s="77">
        <f>N454/L454</f>
        <v>3710.940990573748</v>
      </c>
      <c r="H454" s="77" t="s">
        <v>1253</v>
      </c>
      <c r="I454" s="92" t="s">
        <v>41</v>
      </c>
      <c r="J454" s="142">
        <v>380</v>
      </c>
      <c r="K454" s="143">
        <v>1293</v>
      </c>
      <c r="L454" s="125" t="s">
        <v>846</v>
      </c>
      <c r="M454" s="125" t="s">
        <v>891</v>
      </c>
      <c r="N454" s="168">
        <f>131000*M454</f>
        <v>681069</v>
      </c>
      <c r="O454" s="91">
        <v>41850</v>
      </c>
      <c r="P454" s="69"/>
      <c r="Q454" s="69"/>
      <c r="R454" s="69"/>
      <c r="S454" s="69"/>
      <c r="T454" s="69"/>
      <c r="U454" s="69"/>
      <c r="V454" s="69"/>
      <c r="W454" s="69"/>
    </row>
    <row r="455" spans="1:23" ht="40.200000000000003" customHeight="1" x14ac:dyDescent="0.25">
      <c r="A455" s="118"/>
      <c r="B455" s="85" t="s">
        <v>893</v>
      </c>
      <c r="C455" s="85">
        <v>2008</v>
      </c>
      <c r="D455" s="93" t="s">
        <v>28</v>
      </c>
      <c r="E455" s="160" t="s">
        <v>364</v>
      </c>
      <c r="F455" s="93" t="s">
        <v>103</v>
      </c>
      <c r="G455" s="77">
        <f>609.13*M455/L455</f>
        <v>828.31457581866721</v>
      </c>
      <c r="H455" s="77" t="s">
        <v>894</v>
      </c>
      <c r="I455" s="92" t="s">
        <v>720</v>
      </c>
      <c r="J455" s="142">
        <v>381</v>
      </c>
      <c r="K455" s="143">
        <v>1294</v>
      </c>
      <c r="L455" s="125" t="s">
        <v>846</v>
      </c>
      <c r="M455" s="125" t="s">
        <v>895</v>
      </c>
      <c r="N455" s="168">
        <f>609.13*M455</f>
        <v>152020.5741</v>
      </c>
      <c r="O455" s="91">
        <v>41850</v>
      </c>
      <c r="P455" s="69"/>
      <c r="Q455" s="69"/>
      <c r="R455" s="69"/>
      <c r="S455" s="69"/>
      <c r="T455" s="69"/>
      <c r="U455" s="69"/>
      <c r="V455" s="69"/>
      <c r="W455" s="69"/>
    </row>
    <row r="456" spans="1:23" s="72" customFormat="1" ht="42" customHeight="1" x14ac:dyDescent="0.25">
      <c r="A456" s="118"/>
      <c r="B456" s="85" t="s">
        <v>813</v>
      </c>
      <c r="C456" s="85">
        <v>2009</v>
      </c>
      <c r="D456" s="158" t="s">
        <v>1131</v>
      </c>
      <c r="E456" s="158" t="s">
        <v>272</v>
      </c>
      <c r="F456" s="160" t="s">
        <v>238</v>
      </c>
      <c r="G456" s="77">
        <v>7020</v>
      </c>
      <c r="H456" s="77" t="s">
        <v>896</v>
      </c>
      <c r="I456" s="92" t="s">
        <v>720</v>
      </c>
      <c r="J456" s="142"/>
      <c r="K456" s="143"/>
      <c r="L456" s="125" t="s">
        <v>897</v>
      </c>
      <c r="M456" s="125"/>
      <c r="N456" s="168">
        <f>G456*L456</f>
        <v>1291329</v>
      </c>
      <c r="O456" s="91">
        <v>41851</v>
      </c>
      <c r="P456" s="69"/>
      <c r="Q456" s="69"/>
      <c r="R456" s="69"/>
      <c r="S456" s="69"/>
      <c r="T456" s="69"/>
      <c r="U456" s="69"/>
      <c r="V456" s="69"/>
      <c r="W456" s="69"/>
    </row>
    <row r="457" spans="1:23" ht="54.6" customHeight="1" x14ac:dyDescent="0.25">
      <c r="A457" s="118"/>
      <c r="B457" s="85" t="s">
        <v>811</v>
      </c>
      <c r="C457" s="85">
        <v>1997</v>
      </c>
      <c r="D457" s="158" t="s">
        <v>155</v>
      </c>
      <c r="E457" s="160" t="s">
        <v>272</v>
      </c>
      <c r="F457" s="160" t="s">
        <v>240</v>
      </c>
      <c r="G457" s="77">
        <v>9000</v>
      </c>
      <c r="H457" s="77" t="s">
        <v>102</v>
      </c>
      <c r="I457" s="92" t="s">
        <v>720</v>
      </c>
      <c r="J457" s="142"/>
      <c r="K457" s="143"/>
      <c r="L457" s="125" t="s">
        <v>897</v>
      </c>
      <c r="M457" s="125"/>
      <c r="N457" s="168">
        <f>G457*L457</f>
        <v>1655550</v>
      </c>
      <c r="O457" s="91">
        <v>41851</v>
      </c>
      <c r="P457" s="69"/>
      <c r="Q457" s="69"/>
      <c r="R457" s="69"/>
      <c r="S457" s="69"/>
      <c r="T457" s="69"/>
      <c r="U457" s="69"/>
      <c r="V457" s="69"/>
      <c r="W457" s="69"/>
    </row>
    <row r="458" spans="1:23" ht="42" customHeight="1" x14ac:dyDescent="0.25">
      <c r="A458" s="118"/>
      <c r="B458" s="85" t="s">
        <v>698</v>
      </c>
      <c r="C458" s="85">
        <v>2008</v>
      </c>
      <c r="D458" s="158" t="s">
        <v>703</v>
      </c>
      <c r="E458" s="160" t="s">
        <v>906</v>
      </c>
      <c r="F458" s="160" t="s">
        <v>240</v>
      </c>
      <c r="G458" s="77">
        <v>4015.6</v>
      </c>
      <c r="H458" s="77" t="s">
        <v>1222</v>
      </c>
      <c r="I458" s="92" t="s">
        <v>720</v>
      </c>
      <c r="J458" s="142"/>
      <c r="K458" s="143"/>
      <c r="L458" s="125" t="s">
        <v>897</v>
      </c>
      <c r="M458" s="125"/>
      <c r="N458" s="168">
        <f>G458*L458</f>
        <v>738669.62</v>
      </c>
      <c r="O458" s="91">
        <v>41851</v>
      </c>
      <c r="P458" s="69"/>
      <c r="Q458" s="69"/>
      <c r="R458" s="69"/>
      <c r="S458" s="69"/>
      <c r="T458" s="69"/>
      <c r="U458" s="69"/>
      <c r="V458" s="69"/>
      <c r="W458" s="69"/>
    </row>
    <row r="459" spans="1:23" s="72" customFormat="1" ht="33" customHeight="1" x14ac:dyDescent="0.25">
      <c r="A459" s="118">
        <v>936</v>
      </c>
      <c r="B459" s="85" t="s">
        <v>898</v>
      </c>
      <c r="C459" s="85">
        <v>2009</v>
      </c>
      <c r="D459" s="160" t="s">
        <v>46</v>
      </c>
      <c r="E459" s="158">
        <v>2014</v>
      </c>
      <c r="F459" s="160" t="s">
        <v>534</v>
      </c>
      <c r="G459" s="77">
        <f>40000*M459/L459</f>
        <v>6547.158502697107</v>
      </c>
      <c r="H459" s="77" t="s">
        <v>745</v>
      </c>
      <c r="I459" s="92" t="s">
        <v>41</v>
      </c>
      <c r="J459" s="142">
        <v>382</v>
      </c>
      <c r="K459" s="143">
        <v>1295</v>
      </c>
      <c r="L459" s="125" t="s">
        <v>846</v>
      </c>
      <c r="M459" s="125" t="s">
        <v>899</v>
      </c>
      <c r="N459" s="168">
        <f>40000*M459</f>
        <v>1201600</v>
      </c>
      <c r="O459" s="91">
        <v>41851</v>
      </c>
      <c r="P459" s="69"/>
      <c r="Q459" s="69"/>
      <c r="R459" s="69"/>
      <c r="S459" s="69"/>
      <c r="T459" s="69"/>
      <c r="U459" s="69"/>
      <c r="V459" s="69"/>
      <c r="W459" s="69"/>
    </row>
    <row r="460" spans="1:23" s="72" customFormat="1" ht="31.95" customHeight="1" x14ac:dyDescent="0.25">
      <c r="A460" s="118">
        <v>937</v>
      </c>
      <c r="B460" s="85" t="s">
        <v>900</v>
      </c>
      <c r="C460" s="85">
        <v>2009</v>
      </c>
      <c r="D460" s="160" t="s">
        <v>46</v>
      </c>
      <c r="E460" s="158">
        <v>2014</v>
      </c>
      <c r="F460" s="160" t="s">
        <v>534</v>
      </c>
      <c r="G460" s="77">
        <f>38000*M460/L460</f>
        <v>6219.8005775622514</v>
      </c>
      <c r="H460" s="77" t="s">
        <v>646</v>
      </c>
      <c r="I460" s="92" t="s">
        <v>41</v>
      </c>
      <c r="J460" s="142">
        <v>383</v>
      </c>
      <c r="K460" s="143">
        <v>1296</v>
      </c>
      <c r="L460" s="125" t="s">
        <v>846</v>
      </c>
      <c r="M460" s="125" t="s">
        <v>899</v>
      </c>
      <c r="N460" s="168">
        <f>38000*M460</f>
        <v>1141520</v>
      </c>
      <c r="O460" s="91">
        <v>41851</v>
      </c>
      <c r="P460" s="69"/>
      <c r="Q460" s="69"/>
      <c r="R460" s="69"/>
      <c r="S460" s="69"/>
      <c r="T460" s="69"/>
      <c r="U460" s="69"/>
      <c r="V460" s="69"/>
      <c r="W460" s="69"/>
    </row>
    <row r="461" spans="1:23" s="70" customFormat="1" ht="30.6" customHeight="1" x14ac:dyDescent="0.25">
      <c r="A461" s="118">
        <v>938</v>
      </c>
      <c r="B461" s="85" t="s">
        <v>92</v>
      </c>
      <c r="C461" s="85">
        <v>2008</v>
      </c>
      <c r="D461" s="160" t="s">
        <v>46</v>
      </c>
      <c r="E461" s="158" t="s">
        <v>901</v>
      </c>
      <c r="F461" s="160" t="s">
        <v>534</v>
      </c>
      <c r="G461" s="77">
        <f>23337*M461/L461</f>
        <v>3819.7759494360594</v>
      </c>
      <c r="H461" s="77" t="s">
        <v>1277</v>
      </c>
      <c r="I461" s="92" t="s">
        <v>41</v>
      </c>
      <c r="J461" s="142">
        <v>384</v>
      </c>
      <c r="K461" s="143">
        <v>1297</v>
      </c>
      <c r="L461" s="125" t="s">
        <v>846</v>
      </c>
      <c r="M461" s="125" t="s">
        <v>899</v>
      </c>
      <c r="N461" s="168">
        <f>23337*M461</f>
        <v>701043.48</v>
      </c>
      <c r="O461" s="91">
        <v>41851</v>
      </c>
      <c r="P461" s="69"/>
      <c r="Q461" s="69"/>
      <c r="R461" s="69"/>
      <c r="S461" s="69"/>
      <c r="T461" s="69"/>
      <c r="U461" s="69"/>
      <c r="V461" s="69"/>
      <c r="W461" s="69"/>
    </row>
    <row r="462" spans="1:23" s="72" customFormat="1" ht="33.6" customHeight="1" x14ac:dyDescent="0.25">
      <c r="A462" s="118">
        <v>939</v>
      </c>
      <c r="B462" s="85" t="s">
        <v>902</v>
      </c>
      <c r="C462" s="85">
        <v>2011</v>
      </c>
      <c r="D462" s="160" t="s">
        <v>46</v>
      </c>
      <c r="E462" s="158">
        <v>2014</v>
      </c>
      <c r="F462" s="160" t="s">
        <v>534</v>
      </c>
      <c r="G462" s="77">
        <f>40000*M462/L462</f>
        <v>6547.158502697107</v>
      </c>
      <c r="H462" s="77" t="s">
        <v>745</v>
      </c>
      <c r="I462" s="92" t="s">
        <v>41</v>
      </c>
      <c r="J462" s="142">
        <v>385</v>
      </c>
      <c r="K462" s="143">
        <v>1298</v>
      </c>
      <c r="L462" s="125" t="s">
        <v>846</v>
      </c>
      <c r="M462" s="125" t="s">
        <v>899</v>
      </c>
      <c r="N462" s="168">
        <f>40000*M462</f>
        <v>1201600</v>
      </c>
      <c r="O462" s="91">
        <v>41851</v>
      </c>
      <c r="P462" s="69"/>
      <c r="Q462" s="69"/>
      <c r="R462" s="69"/>
      <c r="S462" s="69"/>
      <c r="T462" s="69"/>
      <c r="U462" s="69"/>
      <c r="V462" s="69"/>
      <c r="W462" s="69"/>
    </row>
    <row r="463" spans="1:23" s="70" customFormat="1" ht="33.6" customHeight="1" x14ac:dyDescent="0.25">
      <c r="A463" s="118">
        <v>940</v>
      </c>
      <c r="B463" s="85" t="s">
        <v>903</v>
      </c>
      <c r="C463" s="85">
        <v>2007</v>
      </c>
      <c r="D463" s="160" t="s">
        <v>46</v>
      </c>
      <c r="E463" s="158">
        <v>2014</v>
      </c>
      <c r="F463" s="160" t="s">
        <v>534</v>
      </c>
      <c r="G463" s="77">
        <f>31816*M463/L463</f>
        <v>5219.9209951986031</v>
      </c>
      <c r="H463" s="77" t="s">
        <v>1280</v>
      </c>
      <c r="I463" s="92" t="s">
        <v>41</v>
      </c>
      <c r="J463" s="142">
        <v>386</v>
      </c>
      <c r="K463" s="143">
        <v>1299</v>
      </c>
      <c r="L463" s="125" t="s">
        <v>904</v>
      </c>
      <c r="M463" s="125" t="s">
        <v>905</v>
      </c>
      <c r="N463" s="168">
        <f>31816*M463</f>
        <v>956707.12</v>
      </c>
      <c r="O463" s="91">
        <v>41852</v>
      </c>
      <c r="P463" s="69"/>
      <c r="Q463" s="69"/>
      <c r="R463" s="69"/>
      <c r="S463" s="69"/>
      <c r="T463" s="69"/>
      <c r="U463" s="69"/>
      <c r="V463" s="69"/>
      <c r="W463" s="69"/>
    </row>
    <row r="464" spans="1:23" s="67" customFormat="1" ht="45" customHeight="1" x14ac:dyDescent="0.25">
      <c r="A464" s="118">
        <v>941</v>
      </c>
      <c r="B464" s="85" t="s">
        <v>907</v>
      </c>
      <c r="C464" s="85">
        <v>2014</v>
      </c>
      <c r="D464" s="160" t="s">
        <v>908</v>
      </c>
      <c r="E464" s="158">
        <v>2014</v>
      </c>
      <c r="F464" s="158" t="s">
        <v>868</v>
      </c>
      <c r="G464" s="77">
        <f>N464/L464</f>
        <v>2854.6842047451664</v>
      </c>
      <c r="H464" s="77" t="s">
        <v>1299</v>
      </c>
      <c r="I464" s="92" t="s">
        <v>720</v>
      </c>
      <c r="J464" s="142">
        <v>387</v>
      </c>
      <c r="K464" s="143">
        <v>1300</v>
      </c>
      <c r="L464" s="125" t="s">
        <v>479</v>
      </c>
      <c r="M464" s="125" t="s">
        <v>909</v>
      </c>
      <c r="N464" s="168">
        <f>100850*M464</f>
        <v>519780.89999999997</v>
      </c>
      <c r="O464" s="91">
        <v>41855</v>
      </c>
      <c r="P464" s="69"/>
      <c r="Q464" s="69"/>
      <c r="R464" s="69"/>
      <c r="S464" s="69"/>
      <c r="T464" s="69"/>
      <c r="U464" s="69"/>
      <c r="V464" s="69"/>
      <c r="W464" s="69"/>
    </row>
    <row r="465" spans="1:23" s="72" customFormat="1" ht="64.5" customHeight="1" x14ac:dyDescent="0.25">
      <c r="A465" s="118"/>
      <c r="B465" s="85" t="s">
        <v>814</v>
      </c>
      <c r="C465" s="85">
        <v>2002</v>
      </c>
      <c r="D465" s="160" t="s">
        <v>815</v>
      </c>
      <c r="E465" s="158" t="s">
        <v>272</v>
      </c>
      <c r="F465" s="160" t="s">
        <v>238</v>
      </c>
      <c r="G465" s="77">
        <v>5000</v>
      </c>
      <c r="H465" s="77" t="s">
        <v>273</v>
      </c>
      <c r="I465" s="92" t="s">
        <v>818</v>
      </c>
      <c r="J465" s="142"/>
      <c r="K465" s="143"/>
      <c r="L465" s="125" t="s">
        <v>910</v>
      </c>
      <c r="M465" s="125"/>
      <c r="N465" s="168">
        <f>G465*L465</f>
        <v>914250</v>
      </c>
      <c r="O465" s="91">
        <v>41855</v>
      </c>
      <c r="P465" s="69"/>
      <c r="Q465" s="69"/>
      <c r="R465" s="69"/>
      <c r="S465" s="69"/>
      <c r="T465" s="69"/>
      <c r="U465" s="69"/>
      <c r="V465" s="69"/>
      <c r="W465" s="69"/>
    </row>
    <row r="466" spans="1:23" s="69" customFormat="1" ht="63.6" customHeight="1" x14ac:dyDescent="0.25">
      <c r="A466" s="118"/>
      <c r="B466" s="85" t="s">
        <v>811</v>
      </c>
      <c r="C466" s="85">
        <v>1997</v>
      </c>
      <c r="D466" s="158" t="s">
        <v>155</v>
      </c>
      <c r="E466" s="158" t="s">
        <v>272</v>
      </c>
      <c r="F466" s="160" t="s">
        <v>240</v>
      </c>
      <c r="G466" s="77">
        <v>8000</v>
      </c>
      <c r="H466" s="77" t="s">
        <v>843</v>
      </c>
      <c r="I466" s="92" t="s">
        <v>1187</v>
      </c>
      <c r="J466" s="142"/>
      <c r="K466" s="143"/>
      <c r="L466" s="125" t="s">
        <v>910</v>
      </c>
      <c r="M466" s="125"/>
      <c r="N466" s="168">
        <f>G466*L466</f>
        <v>1462800</v>
      </c>
      <c r="O466" s="91">
        <v>41857</v>
      </c>
    </row>
    <row r="467" spans="1:23" ht="32.25" customHeight="1" x14ac:dyDescent="0.25">
      <c r="A467" s="118"/>
      <c r="B467" s="85" t="s">
        <v>207</v>
      </c>
      <c r="C467" s="85">
        <v>2012</v>
      </c>
      <c r="D467" s="160" t="s">
        <v>46</v>
      </c>
      <c r="E467" s="158" t="s">
        <v>901</v>
      </c>
      <c r="F467" s="160" t="s">
        <v>240</v>
      </c>
      <c r="G467" s="77">
        <v>5800</v>
      </c>
      <c r="H467" s="77" t="s">
        <v>911</v>
      </c>
      <c r="I467" s="92" t="s">
        <v>41</v>
      </c>
      <c r="J467" s="142">
        <v>388</v>
      </c>
      <c r="K467" s="143">
        <v>1301</v>
      </c>
      <c r="L467" s="125" t="s">
        <v>910</v>
      </c>
      <c r="M467" s="125"/>
      <c r="N467" s="168">
        <f>G467*L467</f>
        <v>1060530</v>
      </c>
      <c r="O467" s="91">
        <v>41858</v>
      </c>
      <c r="P467" s="69"/>
      <c r="Q467" s="69"/>
      <c r="R467" s="69"/>
      <c r="S467" s="69"/>
      <c r="T467" s="69"/>
      <c r="U467" s="69"/>
      <c r="V467" s="69"/>
      <c r="W467" s="69"/>
    </row>
    <row r="468" spans="1:23" ht="37.950000000000003" customHeight="1" x14ac:dyDescent="0.25">
      <c r="A468" s="118">
        <v>942</v>
      </c>
      <c r="B468" s="85" t="s">
        <v>912</v>
      </c>
      <c r="C468" s="85">
        <v>2012</v>
      </c>
      <c r="D468" s="160" t="s">
        <v>46</v>
      </c>
      <c r="E468" s="158">
        <v>2014</v>
      </c>
      <c r="F468" s="160" t="s">
        <v>240</v>
      </c>
      <c r="G468" s="77">
        <v>5800</v>
      </c>
      <c r="H468" s="77" t="s">
        <v>911</v>
      </c>
      <c r="I468" s="92" t="s">
        <v>41</v>
      </c>
      <c r="J468" s="142">
        <v>389</v>
      </c>
      <c r="K468" s="143">
        <v>1302</v>
      </c>
      <c r="L468" s="125" t="s">
        <v>910</v>
      </c>
      <c r="M468" s="125"/>
      <c r="N468" s="168">
        <f>G468*L468</f>
        <v>1060530</v>
      </c>
      <c r="O468" s="91">
        <v>41858</v>
      </c>
      <c r="P468" s="69"/>
      <c r="Q468" s="69"/>
      <c r="R468" s="69"/>
      <c r="S468" s="69"/>
      <c r="T468" s="69"/>
      <c r="U468" s="69"/>
      <c r="V468" s="69"/>
      <c r="W468" s="69"/>
    </row>
    <row r="469" spans="1:23" ht="29.4" customHeight="1" x14ac:dyDescent="0.25">
      <c r="A469" s="118">
        <v>943</v>
      </c>
      <c r="B469" s="85" t="s">
        <v>913</v>
      </c>
      <c r="C469" s="85">
        <v>2010</v>
      </c>
      <c r="D469" s="160" t="s">
        <v>46</v>
      </c>
      <c r="E469" s="158">
        <v>2014</v>
      </c>
      <c r="F469" s="93" t="s">
        <v>63</v>
      </c>
      <c r="G469" s="77">
        <f>N469/L469</f>
        <v>1586.3956043956043</v>
      </c>
      <c r="H469" s="77" t="s">
        <v>1242</v>
      </c>
      <c r="I469" s="92" t="s">
        <v>41</v>
      </c>
      <c r="J469" s="142">
        <v>390</v>
      </c>
      <c r="K469" s="143">
        <v>1303</v>
      </c>
      <c r="L469" s="125" t="s">
        <v>914</v>
      </c>
      <c r="M469" s="125"/>
      <c r="N469" s="168">
        <v>288724</v>
      </c>
      <c r="O469" s="91">
        <v>41858</v>
      </c>
      <c r="P469" s="69"/>
      <c r="Q469" s="69"/>
      <c r="R469" s="69"/>
      <c r="S469" s="69"/>
      <c r="T469" s="69"/>
      <c r="U469" s="69"/>
      <c r="V469" s="69"/>
      <c r="W469" s="69"/>
    </row>
    <row r="470" spans="1:23" ht="33" customHeight="1" x14ac:dyDescent="0.25">
      <c r="A470" s="118"/>
      <c r="B470" s="85" t="s">
        <v>64</v>
      </c>
      <c r="C470" s="85">
        <v>2009</v>
      </c>
      <c r="D470" s="160" t="s">
        <v>46</v>
      </c>
      <c r="E470" s="158" t="s">
        <v>901</v>
      </c>
      <c r="F470" s="93" t="s">
        <v>63</v>
      </c>
      <c r="G470" s="77">
        <f>N470/L470</f>
        <v>1687.1538461538462</v>
      </c>
      <c r="H470" s="77" t="s">
        <v>1243</v>
      </c>
      <c r="I470" s="92" t="s">
        <v>41</v>
      </c>
      <c r="J470" s="142">
        <v>391</v>
      </c>
      <c r="K470" s="143">
        <v>1304</v>
      </c>
      <c r="L470" s="125" t="s">
        <v>914</v>
      </c>
      <c r="M470" s="125"/>
      <c r="N470" s="168">
        <v>307062</v>
      </c>
      <c r="O470" s="91">
        <v>41858</v>
      </c>
      <c r="P470" s="69"/>
      <c r="Q470" s="69"/>
      <c r="R470" s="69"/>
      <c r="S470" s="69"/>
      <c r="T470" s="69"/>
      <c r="U470" s="69"/>
      <c r="V470" s="69"/>
      <c r="W470" s="69"/>
    </row>
    <row r="471" spans="1:23" ht="33" customHeight="1" x14ac:dyDescent="0.25">
      <c r="A471" s="118">
        <v>944</v>
      </c>
      <c r="B471" s="85" t="s">
        <v>915</v>
      </c>
      <c r="C471" s="85">
        <v>2003</v>
      </c>
      <c r="D471" s="160" t="s">
        <v>46</v>
      </c>
      <c r="E471" s="158">
        <v>2014</v>
      </c>
      <c r="F471" s="93" t="s">
        <v>63</v>
      </c>
      <c r="G471" s="77">
        <f>354706/L471</f>
        <v>1948.934065934066</v>
      </c>
      <c r="H471" s="77" t="s">
        <v>916</v>
      </c>
      <c r="I471" s="92" t="s">
        <v>41</v>
      </c>
      <c r="J471" s="142">
        <v>392</v>
      </c>
      <c r="K471" s="143">
        <v>1305</v>
      </c>
      <c r="L471" s="125" t="s">
        <v>914</v>
      </c>
      <c r="M471" s="125"/>
      <c r="N471" s="168">
        <v>354706</v>
      </c>
      <c r="O471" s="91">
        <v>41858</v>
      </c>
      <c r="P471" s="69"/>
      <c r="Q471" s="69"/>
      <c r="R471" s="69"/>
      <c r="S471" s="69"/>
      <c r="T471" s="69"/>
      <c r="U471" s="69"/>
      <c r="V471" s="69"/>
      <c r="W471" s="69"/>
    </row>
    <row r="472" spans="1:23" ht="33.6" customHeight="1" x14ac:dyDescent="0.25">
      <c r="A472" s="118">
        <v>945</v>
      </c>
      <c r="B472" s="85" t="s">
        <v>917</v>
      </c>
      <c r="C472" s="85">
        <v>2007</v>
      </c>
      <c r="D472" s="160" t="s">
        <v>46</v>
      </c>
      <c r="E472" s="158">
        <v>2014</v>
      </c>
      <c r="F472" s="93" t="s">
        <v>63</v>
      </c>
      <c r="G472" s="77">
        <f>N472/L472</f>
        <v>1951.6373626373627</v>
      </c>
      <c r="H472" s="77" t="s">
        <v>1246</v>
      </c>
      <c r="I472" s="92" t="s">
        <v>41</v>
      </c>
      <c r="J472" s="142">
        <v>393</v>
      </c>
      <c r="K472" s="143">
        <v>1306</v>
      </c>
      <c r="L472" s="125" t="s">
        <v>914</v>
      </c>
      <c r="M472" s="125"/>
      <c r="N472" s="168">
        <v>355198</v>
      </c>
      <c r="O472" s="91">
        <v>41858</v>
      </c>
      <c r="P472" s="69"/>
      <c r="Q472" s="69"/>
      <c r="R472" s="69"/>
      <c r="S472" s="69"/>
      <c r="T472" s="69"/>
      <c r="U472" s="69"/>
      <c r="V472" s="69"/>
      <c r="W472" s="69"/>
    </row>
    <row r="473" spans="1:23" ht="33" customHeight="1" x14ac:dyDescent="0.25">
      <c r="A473" s="118"/>
      <c r="B473" s="85" t="s">
        <v>918</v>
      </c>
      <c r="C473" s="85">
        <v>2008</v>
      </c>
      <c r="D473" s="160" t="s">
        <v>46</v>
      </c>
      <c r="E473" s="158" t="s">
        <v>473</v>
      </c>
      <c r="F473" s="93" t="s">
        <v>63</v>
      </c>
      <c r="G473" s="77">
        <f>N473/L473</f>
        <v>1843.7637362637363</v>
      </c>
      <c r="H473" s="77" t="s">
        <v>1245</v>
      </c>
      <c r="I473" s="92" t="s">
        <v>41</v>
      </c>
      <c r="J473" s="142">
        <v>394</v>
      </c>
      <c r="K473" s="143">
        <v>1307</v>
      </c>
      <c r="L473" s="125" t="s">
        <v>914</v>
      </c>
      <c r="M473" s="125"/>
      <c r="N473" s="168">
        <v>335565</v>
      </c>
      <c r="O473" s="91">
        <v>41858</v>
      </c>
      <c r="P473" s="69"/>
      <c r="Q473" s="69"/>
      <c r="R473" s="69"/>
      <c r="S473" s="69"/>
      <c r="T473" s="69"/>
      <c r="U473" s="69"/>
      <c r="V473" s="69"/>
      <c r="W473" s="69"/>
    </row>
    <row r="474" spans="1:23" ht="33.6" customHeight="1" x14ac:dyDescent="0.25">
      <c r="A474" s="118"/>
      <c r="B474" s="85" t="s">
        <v>919</v>
      </c>
      <c r="C474" s="85">
        <v>2006</v>
      </c>
      <c r="D474" s="160" t="s">
        <v>46</v>
      </c>
      <c r="E474" s="158" t="s">
        <v>901</v>
      </c>
      <c r="F474" s="93" t="s">
        <v>63</v>
      </c>
      <c r="G474" s="77">
        <f>N474/L474</f>
        <v>1921.2582417582419</v>
      </c>
      <c r="H474" s="77" t="s">
        <v>1244</v>
      </c>
      <c r="I474" s="92" t="s">
        <v>41</v>
      </c>
      <c r="J474" s="142">
        <v>395</v>
      </c>
      <c r="K474" s="143">
        <v>1308</v>
      </c>
      <c r="L474" s="125" t="s">
        <v>914</v>
      </c>
      <c r="M474" s="125"/>
      <c r="N474" s="168">
        <v>349669</v>
      </c>
      <c r="O474" s="91">
        <v>41858</v>
      </c>
      <c r="P474" s="69"/>
      <c r="Q474" s="69"/>
      <c r="R474" s="69"/>
      <c r="S474" s="69"/>
      <c r="T474" s="69"/>
      <c r="U474" s="69"/>
      <c r="V474" s="69"/>
      <c r="W474" s="69"/>
    </row>
    <row r="475" spans="1:23" ht="33.6" customHeight="1" x14ac:dyDescent="0.25">
      <c r="A475" s="118"/>
      <c r="B475" s="85" t="s">
        <v>252</v>
      </c>
      <c r="C475" s="85">
        <v>2008</v>
      </c>
      <c r="D475" s="160" t="s">
        <v>46</v>
      </c>
      <c r="E475" s="158" t="s">
        <v>901</v>
      </c>
      <c r="F475" s="160" t="s">
        <v>240</v>
      </c>
      <c r="G475" s="77">
        <v>5800</v>
      </c>
      <c r="H475" s="77" t="s">
        <v>911</v>
      </c>
      <c r="I475" s="92" t="s">
        <v>41</v>
      </c>
      <c r="J475" s="142">
        <v>396</v>
      </c>
      <c r="K475" s="143">
        <v>1309</v>
      </c>
      <c r="L475" s="125" t="s">
        <v>910</v>
      </c>
      <c r="M475" s="125"/>
      <c r="N475" s="168">
        <f>G475*L475</f>
        <v>1060530</v>
      </c>
      <c r="O475" s="91">
        <v>41858</v>
      </c>
      <c r="P475" s="69"/>
      <c r="Q475" s="69"/>
      <c r="R475" s="69"/>
      <c r="S475" s="69"/>
      <c r="T475" s="69"/>
      <c r="U475" s="69"/>
      <c r="V475" s="69"/>
      <c r="W475" s="69"/>
    </row>
    <row r="476" spans="1:23" ht="31.5" customHeight="1" x14ac:dyDescent="0.25">
      <c r="A476" s="118">
        <v>946</v>
      </c>
      <c r="B476" s="85" t="s">
        <v>920</v>
      </c>
      <c r="C476" s="85">
        <v>2011</v>
      </c>
      <c r="D476" s="160" t="s">
        <v>46</v>
      </c>
      <c r="E476" s="158">
        <v>2014</v>
      </c>
      <c r="F476" s="160" t="s">
        <v>240</v>
      </c>
      <c r="G476" s="77">
        <v>5800</v>
      </c>
      <c r="H476" s="77" t="s">
        <v>911</v>
      </c>
      <c r="I476" s="92" t="s">
        <v>41</v>
      </c>
      <c r="J476" s="142">
        <v>397</v>
      </c>
      <c r="K476" s="143">
        <v>1310</v>
      </c>
      <c r="L476" s="125" t="s">
        <v>910</v>
      </c>
      <c r="M476" s="125"/>
      <c r="N476" s="168">
        <f>G476*L476</f>
        <v>1060530</v>
      </c>
      <c r="O476" s="91">
        <v>41858</v>
      </c>
      <c r="P476" s="69"/>
      <c r="Q476" s="69"/>
      <c r="R476" s="69"/>
      <c r="S476" s="69"/>
      <c r="T476" s="69"/>
      <c r="U476" s="69"/>
      <c r="V476" s="69"/>
      <c r="W476" s="69"/>
    </row>
    <row r="477" spans="1:23" ht="35.4" customHeight="1" x14ac:dyDescent="0.25">
      <c r="A477" s="118"/>
      <c r="B477" s="85" t="s">
        <v>251</v>
      </c>
      <c r="C477" s="85">
        <v>2012</v>
      </c>
      <c r="D477" s="160" t="s">
        <v>46</v>
      </c>
      <c r="E477" s="158" t="s">
        <v>901</v>
      </c>
      <c r="F477" s="160" t="s">
        <v>240</v>
      </c>
      <c r="G477" s="77">
        <v>5800</v>
      </c>
      <c r="H477" s="77" t="s">
        <v>911</v>
      </c>
      <c r="I477" s="92" t="s">
        <v>41</v>
      </c>
      <c r="J477" s="142">
        <v>398</v>
      </c>
      <c r="K477" s="143">
        <v>1311</v>
      </c>
      <c r="L477" s="125" t="s">
        <v>910</v>
      </c>
      <c r="M477" s="125"/>
      <c r="N477" s="168">
        <f>G477*L477</f>
        <v>1060530</v>
      </c>
      <c r="O477" s="91">
        <v>41858</v>
      </c>
      <c r="P477" s="69"/>
      <c r="Q477" s="69"/>
      <c r="R477" s="69"/>
      <c r="S477" s="69"/>
      <c r="T477" s="69"/>
      <c r="U477" s="69"/>
      <c r="V477" s="69"/>
      <c r="W477" s="69"/>
    </row>
    <row r="478" spans="1:23" ht="31.2" customHeight="1" x14ac:dyDescent="0.25">
      <c r="A478" s="118">
        <v>947</v>
      </c>
      <c r="B478" s="85" t="s">
        <v>921</v>
      </c>
      <c r="C478" s="85">
        <v>2011</v>
      </c>
      <c r="D478" s="160" t="s">
        <v>46</v>
      </c>
      <c r="E478" s="158">
        <v>2014</v>
      </c>
      <c r="F478" s="160" t="s">
        <v>240</v>
      </c>
      <c r="G478" s="77">
        <v>5800</v>
      </c>
      <c r="H478" s="77" t="s">
        <v>911</v>
      </c>
      <c r="I478" s="92" t="s">
        <v>41</v>
      </c>
      <c r="J478" s="142">
        <v>399</v>
      </c>
      <c r="K478" s="143">
        <v>1312</v>
      </c>
      <c r="L478" s="125" t="s">
        <v>910</v>
      </c>
      <c r="M478" s="125"/>
      <c r="N478" s="168">
        <f>G478*L478</f>
        <v>1060530</v>
      </c>
      <c r="O478" s="91">
        <v>41858</v>
      </c>
      <c r="P478" s="69"/>
      <c r="Q478" s="69"/>
      <c r="R478" s="69"/>
      <c r="S478" s="69"/>
      <c r="T478" s="69"/>
      <c r="U478" s="69"/>
      <c r="V478" s="69"/>
      <c r="W478" s="69"/>
    </row>
    <row r="479" spans="1:23" s="67" customFormat="1" ht="36.6" customHeight="1" x14ac:dyDescent="0.25">
      <c r="A479" s="118">
        <v>948</v>
      </c>
      <c r="B479" s="85" t="s">
        <v>922</v>
      </c>
      <c r="C479" s="85">
        <v>2004</v>
      </c>
      <c r="D479" s="160" t="s">
        <v>46</v>
      </c>
      <c r="E479" s="158">
        <v>2014</v>
      </c>
      <c r="F479" s="158" t="s">
        <v>328</v>
      </c>
      <c r="G479" s="77">
        <f>N479/L479</f>
        <v>7173.6142857142859</v>
      </c>
      <c r="H479" s="77" t="s">
        <v>1312</v>
      </c>
      <c r="I479" s="92" t="s">
        <v>41</v>
      </c>
      <c r="J479" s="142">
        <v>400</v>
      </c>
      <c r="K479" s="143">
        <v>1313</v>
      </c>
      <c r="L479" s="125" t="s">
        <v>914</v>
      </c>
      <c r="M479" s="125" t="s">
        <v>923</v>
      </c>
      <c r="N479" s="168">
        <f>256100*M479</f>
        <v>1305597.8</v>
      </c>
      <c r="O479" s="91">
        <v>41858</v>
      </c>
      <c r="P479" s="69"/>
      <c r="Q479" s="69"/>
      <c r="R479" s="69"/>
      <c r="S479" s="69"/>
      <c r="T479" s="69"/>
      <c r="U479" s="69"/>
      <c r="V479" s="69"/>
      <c r="W479" s="69"/>
    </row>
    <row r="480" spans="1:23" s="72" customFormat="1" ht="34.200000000000003" customHeight="1" x14ac:dyDescent="0.25">
      <c r="A480" s="118"/>
      <c r="B480" s="85" t="s">
        <v>181</v>
      </c>
      <c r="C480" s="85">
        <v>2006</v>
      </c>
      <c r="D480" s="160" t="s">
        <v>46</v>
      </c>
      <c r="E480" s="158" t="s">
        <v>901</v>
      </c>
      <c r="F480" s="158" t="s">
        <v>328</v>
      </c>
      <c r="G480" s="77">
        <f>235600*M480/L480</f>
        <v>6599.3890109890117</v>
      </c>
      <c r="H480" s="77" t="s">
        <v>924</v>
      </c>
      <c r="I480" s="92" t="s">
        <v>41</v>
      </c>
      <c r="J480" s="142">
        <v>401</v>
      </c>
      <c r="K480" s="143">
        <v>1314</v>
      </c>
      <c r="L480" s="125" t="s">
        <v>914</v>
      </c>
      <c r="M480" s="125" t="s">
        <v>923</v>
      </c>
      <c r="N480" s="168">
        <f>235600*M480</f>
        <v>1201088.8</v>
      </c>
      <c r="O480" s="91">
        <v>41858</v>
      </c>
      <c r="P480" s="69"/>
      <c r="Q480" s="69"/>
      <c r="R480" s="69"/>
      <c r="S480" s="69"/>
      <c r="T480" s="69"/>
      <c r="U480" s="69"/>
      <c r="V480" s="69"/>
      <c r="W480" s="69"/>
    </row>
    <row r="481" spans="1:23" s="72" customFormat="1" ht="35.4" customHeight="1" x14ac:dyDescent="0.25">
      <c r="A481" s="118"/>
      <c r="B481" s="85" t="s">
        <v>772</v>
      </c>
      <c r="C481" s="85">
        <v>2008</v>
      </c>
      <c r="D481" s="160" t="s">
        <v>46</v>
      </c>
      <c r="E481" s="158">
        <v>2014</v>
      </c>
      <c r="F481" s="158" t="s">
        <v>328</v>
      </c>
      <c r="G481" s="77">
        <f>254700*M481/L481</f>
        <v>7134.3989010989008</v>
      </c>
      <c r="H481" s="77" t="s">
        <v>925</v>
      </c>
      <c r="I481" s="92" t="s">
        <v>41</v>
      </c>
      <c r="J481" s="142">
        <v>402</v>
      </c>
      <c r="K481" s="143">
        <v>1315</v>
      </c>
      <c r="L481" s="125" t="s">
        <v>914</v>
      </c>
      <c r="M481" s="125" t="s">
        <v>923</v>
      </c>
      <c r="N481" s="168">
        <f>254700*M481</f>
        <v>1298460.5999999999</v>
      </c>
      <c r="O481" s="91">
        <v>41858</v>
      </c>
      <c r="P481" s="69"/>
      <c r="Q481" s="69"/>
      <c r="R481" s="69"/>
      <c r="S481" s="69"/>
      <c r="T481" s="69"/>
      <c r="U481" s="69"/>
      <c r="V481" s="69"/>
      <c r="W481" s="69"/>
    </row>
    <row r="482" spans="1:23" ht="90.6" customHeight="1" x14ac:dyDescent="0.25">
      <c r="A482" s="118"/>
      <c r="B482" s="85" t="s">
        <v>164</v>
      </c>
      <c r="C482" s="85">
        <v>2007</v>
      </c>
      <c r="D482" s="160" t="s">
        <v>46</v>
      </c>
      <c r="E482" s="158" t="s">
        <v>926</v>
      </c>
      <c r="F482" s="160" t="s">
        <v>165</v>
      </c>
      <c r="G482" s="77">
        <f>70850*M482/L482</f>
        <v>1984.5785714285714</v>
      </c>
      <c r="H482" s="77" t="s">
        <v>212</v>
      </c>
      <c r="I482" s="92" t="s">
        <v>41</v>
      </c>
      <c r="J482" s="142">
        <v>403</v>
      </c>
      <c r="K482" s="143">
        <v>1316</v>
      </c>
      <c r="L482" s="125" t="s">
        <v>914</v>
      </c>
      <c r="M482" s="125" t="s">
        <v>923</v>
      </c>
      <c r="N482" s="168">
        <f>70850*M482</f>
        <v>361193.3</v>
      </c>
      <c r="O482" s="91">
        <v>41858</v>
      </c>
      <c r="P482" s="69"/>
      <c r="Q482" s="69"/>
      <c r="R482" s="69"/>
      <c r="S482" s="69"/>
      <c r="T482" s="69"/>
      <c r="U482" s="69"/>
      <c r="V482" s="69"/>
      <c r="W482" s="69"/>
    </row>
    <row r="483" spans="1:23" s="72" customFormat="1" ht="34.200000000000003" customHeight="1" x14ac:dyDescent="0.25">
      <c r="A483" s="118">
        <v>949</v>
      </c>
      <c r="B483" s="85" t="s">
        <v>927</v>
      </c>
      <c r="C483" s="85">
        <v>2008</v>
      </c>
      <c r="D483" s="160" t="s">
        <v>46</v>
      </c>
      <c r="E483" s="158">
        <v>2014</v>
      </c>
      <c r="F483" s="160" t="s">
        <v>323</v>
      </c>
      <c r="G483" s="77">
        <v>7988.5</v>
      </c>
      <c r="H483" s="77" t="s">
        <v>644</v>
      </c>
      <c r="I483" s="92" t="s">
        <v>41</v>
      </c>
      <c r="J483" s="142">
        <v>404</v>
      </c>
      <c r="K483" s="143">
        <v>1317</v>
      </c>
      <c r="L483" s="125" t="s">
        <v>910</v>
      </c>
      <c r="M483" s="125"/>
      <c r="N483" s="168">
        <f>G483*L483</f>
        <v>1460697.2249999999</v>
      </c>
      <c r="O483" s="91">
        <v>41858</v>
      </c>
      <c r="P483" s="69"/>
      <c r="Q483" s="69"/>
      <c r="R483" s="69"/>
      <c r="S483" s="69"/>
      <c r="T483" s="69"/>
      <c r="U483" s="69"/>
      <c r="V483" s="69"/>
      <c r="W483" s="69"/>
    </row>
    <row r="484" spans="1:23" ht="56.4" customHeight="1" x14ac:dyDescent="0.25">
      <c r="A484" s="118">
        <v>950</v>
      </c>
      <c r="B484" s="85" t="s">
        <v>928</v>
      </c>
      <c r="C484" s="85">
        <v>2002</v>
      </c>
      <c r="D484" s="160" t="s">
        <v>46</v>
      </c>
      <c r="E484" s="158">
        <v>2014</v>
      </c>
      <c r="F484" s="160" t="s">
        <v>929</v>
      </c>
      <c r="G484" s="77">
        <f>2595*M484/L484</f>
        <v>3518.0785714285716</v>
      </c>
      <c r="H484" s="77" t="s">
        <v>930</v>
      </c>
      <c r="I484" s="92" t="s">
        <v>41</v>
      </c>
      <c r="J484" s="142">
        <v>405</v>
      </c>
      <c r="K484" s="143">
        <v>1318</v>
      </c>
      <c r="L484" s="125" t="s">
        <v>914</v>
      </c>
      <c r="M484" s="125" t="s">
        <v>931</v>
      </c>
      <c r="N484" s="168">
        <f>2595*M484</f>
        <v>640290.30000000005</v>
      </c>
      <c r="O484" s="91">
        <v>41859</v>
      </c>
      <c r="P484" s="69"/>
      <c r="Q484" s="69"/>
      <c r="R484" s="69"/>
      <c r="S484" s="69"/>
      <c r="T484" s="69"/>
      <c r="U484" s="69"/>
      <c r="V484" s="69"/>
      <c r="W484" s="69"/>
    </row>
    <row r="485" spans="1:23" s="72" customFormat="1" ht="34.200000000000003" customHeight="1" x14ac:dyDescent="0.25">
      <c r="A485" s="118">
        <v>951</v>
      </c>
      <c r="B485" s="85" t="s">
        <v>932</v>
      </c>
      <c r="C485" s="85">
        <v>2006</v>
      </c>
      <c r="D485" s="160" t="s">
        <v>46</v>
      </c>
      <c r="E485" s="158">
        <v>2014</v>
      </c>
      <c r="F485" s="160" t="s">
        <v>534</v>
      </c>
      <c r="G485" s="77">
        <f>40000*M485/L485</f>
        <v>6571.4285714285716</v>
      </c>
      <c r="H485" s="77" t="s">
        <v>745</v>
      </c>
      <c r="I485" s="92" t="s">
        <v>41</v>
      </c>
      <c r="J485" s="142">
        <v>406</v>
      </c>
      <c r="K485" s="143">
        <v>1319</v>
      </c>
      <c r="L485" s="125" t="s">
        <v>914</v>
      </c>
      <c r="M485" s="125" t="s">
        <v>933</v>
      </c>
      <c r="N485" s="168">
        <f>40000*M485</f>
        <v>1196000</v>
      </c>
      <c r="O485" s="91">
        <v>41862</v>
      </c>
      <c r="P485" s="69"/>
      <c r="Q485" s="69"/>
      <c r="R485" s="69"/>
      <c r="S485" s="69"/>
      <c r="T485" s="69"/>
      <c r="U485" s="69"/>
      <c r="V485" s="69"/>
      <c r="W485" s="69"/>
    </row>
    <row r="486" spans="1:23" s="70" customFormat="1" ht="34.200000000000003" customHeight="1" x14ac:dyDescent="0.25">
      <c r="A486" s="118">
        <v>952</v>
      </c>
      <c r="B486" s="85" t="s">
        <v>934</v>
      </c>
      <c r="C486" s="85">
        <v>2011</v>
      </c>
      <c r="D486" s="160" t="s">
        <v>46</v>
      </c>
      <c r="E486" s="158">
        <v>2014</v>
      </c>
      <c r="F486" s="160" t="s">
        <v>534</v>
      </c>
      <c r="G486" s="77">
        <f>31443*M486/L486</f>
        <v>5165.6357142857141</v>
      </c>
      <c r="H486" s="77" t="s">
        <v>1278</v>
      </c>
      <c r="I486" s="92" t="s">
        <v>41</v>
      </c>
      <c r="J486" s="142">
        <v>407</v>
      </c>
      <c r="K486" s="143">
        <v>1320</v>
      </c>
      <c r="L486" s="125" t="s">
        <v>914</v>
      </c>
      <c r="M486" s="125" t="s">
        <v>933</v>
      </c>
      <c r="N486" s="168">
        <f>31443*M486</f>
        <v>940145.7</v>
      </c>
      <c r="O486" s="91">
        <v>41862</v>
      </c>
      <c r="P486" s="69"/>
      <c r="Q486" s="69"/>
      <c r="R486" s="69"/>
      <c r="S486" s="69"/>
      <c r="T486" s="69"/>
      <c r="U486" s="69"/>
      <c r="V486" s="69"/>
      <c r="W486" s="69"/>
    </row>
    <row r="487" spans="1:23" s="70" customFormat="1" ht="34.950000000000003" customHeight="1" x14ac:dyDescent="0.25">
      <c r="A487" s="118">
        <v>953</v>
      </c>
      <c r="B487" s="85" t="s">
        <v>935</v>
      </c>
      <c r="C487" s="85">
        <v>2006</v>
      </c>
      <c r="D487" s="160" t="s">
        <v>46</v>
      </c>
      <c r="E487" s="158">
        <v>2014</v>
      </c>
      <c r="F487" s="160" t="s">
        <v>534</v>
      </c>
      <c r="G487" s="77">
        <f>31494*M487/L487</f>
        <v>5174.0142857142855</v>
      </c>
      <c r="H487" s="77" t="s">
        <v>1281</v>
      </c>
      <c r="I487" s="92" t="s">
        <v>41</v>
      </c>
      <c r="J487" s="142">
        <v>408</v>
      </c>
      <c r="K487" s="143">
        <v>1321</v>
      </c>
      <c r="L487" s="125" t="s">
        <v>914</v>
      </c>
      <c r="M487" s="125" t="s">
        <v>933</v>
      </c>
      <c r="N487" s="168">
        <f>31494*M487</f>
        <v>941670.6</v>
      </c>
      <c r="O487" s="91">
        <v>41862</v>
      </c>
      <c r="P487" s="69"/>
      <c r="Q487" s="69"/>
      <c r="R487" s="69"/>
      <c r="S487" s="69"/>
      <c r="T487" s="69"/>
      <c r="U487" s="69"/>
      <c r="V487" s="69"/>
      <c r="W487" s="69"/>
    </row>
    <row r="488" spans="1:23" s="72" customFormat="1" ht="39.6" customHeight="1" x14ac:dyDescent="0.25">
      <c r="A488" s="118">
        <v>954</v>
      </c>
      <c r="B488" s="85" t="s">
        <v>936</v>
      </c>
      <c r="C488" s="85">
        <v>2007</v>
      </c>
      <c r="D488" s="160" t="s">
        <v>46</v>
      </c>
      <c r="E488" s="158">
        <v>2014</v>
      </c>
      <c r="F488" s="160" t="s">
        <v>534</v>
      </c>
      <c r="G488" s="77">
        <f>38663*M488/L488</f>
        <v>6351.778571428571</v>
      </c>
      <c r="H488" s="77" t="s">
        <v>1276</v>
      </c>
      <c r="I488" s="92" t="s">
        <v>41</v>
      </c>
      <c r="J488" s="142">
        <v>409</v>
      </c>
      <c r="K488" s="143">
        <v>1322</v>
      </c>
      <c r="L488" s="125" t="s">
        <v>914</v>
      </c>
      <c r="M488" s="125" t="s">
        <v>933</v>
      </c>
      <c r="N488" s="168">
        <f>38663*M488</f>
        <v>1156023.7</v>
      </c>
      <c r="O488" s="91">
        <v>41862</v>
      </c>
      <c r="P488" s="69"/>
      <c r="Q488" s="69"/>
      <c r="R488" s="69"/>
      <c r="S488" s="69"/>
      <c r="T488" s="69"/>
      <c r="U488" s="69"/>
      <c r="V488" s="69"/>
      <c r="W488" s="69"/>
    </row>
    <row r="489" spans="1:23" ht="39" customHeight="1" x14ac:dyDescent="0.25">
      <c r="A489" s="118"/>
      <c r="B489" s="85" t="s">
        <v>937</v>
      </c>
      <c r="C489" s="85">
        <v>2004</v>
      </c>
      <c r="D489" s="160" t="s">
        <v>46</v>
      </c>
      <c r="E489" s="158" t="s">
        <v>901</v>
      </c>
      <c r="F489" s="158" t="s">
        <v>299</v>
      </c>
      <c r="G489" s="77">
        <f>207910*M489/L489</f>
        <v>5831.7612637362636</v>
      </c>
      <c r="H489" s="77" t="s">
        <v>886</v>
      </c>
      <c r="I489" s="92" t="s">
        <v>41</v>
      </c>
      <c r="J489" s="142">
        <v>410</v>
      </c>
      <c r="K489" s="143">
        <v>1323</v>
      </c>
      <c r="L489" s="125" t="s">
        <v>914</v>
      </c>
      <c r="M489" s="125" t="s">
        <v>938</v>
      </c>
      <c r="N489" s="168">
        <f>207910*M489</f>
        <v>1061380.55</v>
      </c>
      <c r="O489" s="91">
        <v>41862</v>
      </c>
      <c r="P489" s="69"/>
      <c r="Q489" s="69"/>
      <c r="R489" s="69"/>
      <c r="S489" s="69"/>
      <c r="T489" s="69"/>
      <c r="U489" s="69"/>
      <c r="V489" s="69"/>
      <c r="W489" s="69"/>
    </row>
    <row r="490" spans="1:23" ht="45" customHeight="1" x14ac:dyDescent="0.25">
      <c r="A490" s="118">
        <v>955</v>
      </c>
      <c r="B490" s="85" t="s">
        <v>939</v>
      </c>
      <c r="C490" s="85">
        <v>2010</v>
      </c>
      <c r="D490" s="160" t="s">
        <v>46</v>
      </c>
      <c r="E490" s="158">
        <v>2014</v>
      </c>
      <c r="F490" s="158" t="s">
        <v>85</v>
      </c>
      <c r="G490" s="77">
        <f>111450*M490/L490</f>
        <v>3126.1112637362639</v>
      </c>
      <c r="H490" s="77" t="s">
        <v>940</v>
      </c>
      <c r="I490" s="92" t="s">
        <v>41</v>
      </c>
      <c r="J490" s="142">
        <v>411</v>
      </c>
      <c r="K490" s="143">
        <v>1324</v>
      </c>
      <c r="L490" s="125" t="s">
        <v>914</v>
      </c>
      <c r="M490" s="125" t="s">
        <v>938</v>
      </c>
      <c r="N490" s="168">
        <f>111450*M490</f>
        <v>568952.25</v>
      </c>
      <c r="O490" s="91">
        <v>41862</v>
      </c>
      <c r="P490" s="69"/>
      <c r="Q490" s="69"/>
      <c r="R490" s="69"/>
      <c r="S490" s="69"/>
      <c r="T490" s="69"/>
      <c r="U490" s="69"/>
      <c r="V490" s="69"/>
      <c r="W490" s="69"/>
    </row>
    <row r="491" spans="1:23" s="72" customFormat="1" ht="36" customHeight="1" x14ac:dyDescent="0.25">
      <c r="A491" s="118">
        <v>956</v>
      </c>
      <c r="B491" s="85" t="s">
        <v>941</v>
      </c>
      <c r="C491" s="85">
        <v>2004</v>
      </c>
      <c r="D491" s="160" t="s">
        <v>46</v>
      </c>
      <c r="E491" s="158">
        <v>2014</v>
      </c>
      <c r="F491" s="158" t="s">
        <v>328</v>
      </c>
      <c r="G491" s="77">
        <f>223700*M491/L491</f>
        <v>6274.6620879120883</v>
      </c>
      <c r="H491" s="77" t="s">
        <v>942</v>
      </c>
      <c r="I491" s="92" t="s">
        <v>41</v>
      </c>
      <c r="J491" s="142">
        <v>412</v>
      </c>
      <c r="K491" s="143">
        <v>1325</v>
      </c>
      <c r="L491" s="125" t="s">
        <v>914</v>
      </c>
      <c r="M491" s="125" t="s">
        <v>938</v>
      </c>
      <c r="N491" s="168">
        <f>223700*M491</f>
        <v>1141988.5</v>
      </c>
      <c r="O491" s="91">
        <v>41862</v>
      </c>
      <c r="P491" s="69"/>
      <c r="Q491" s="69"/>
      <c r="R491" s="69"/>
      <c r="S491" s="69"/>
      <c r="T491" s="69"/>
      <c r="U491" s="69"/>
      <c r="V491" s="69"/>
      <c r="W491" s="69"/>
    </row>
    <row r="492" spans="1:23" s="72" customFormat="1" ht="37.950000000000003" customHeight="1" x14ac:dyDescent="0.25">
      <c r="A492" s="118">
        <v>957</v>
      </c>
      <c r="B492" s="85" t="s">
        <v>943</v>
      </c>
      <c r="C492" s="85">
        <v>2002</v>
      </c>
      <c r="D492" s="160" t="s">
        <v>46</v>
      </c>
      <c r="E492" s="158">
        <v>2014</v>
      </c>
      <c r="F492" s="158" t="s">
        <v>328</v>
      </c>
      <c r="G492" s="77">
        <f>243500*M492/L492</f>
        <v>6830.0412087912091</v>
      </c>
      <c r="H492" s="77" t="s">
        <v>944</v>
      </c>
      <c r="I492" s="92" t="s">
        <v>41</v>
      </c>
      <c r="J492" s="142">
        <v>413</v>
      </c>
      <c r="K492" s="143">
        <v>1326</v>
      </c>
      <c r="L492" s="125" t="s">
        <v>914</v>
      </c>
      <c r="M492" s="125" t="s">
        <v>938</v>
      </c>
      <c r="N492" s="168">
        <f>243500*M492</f>
        <v>1243067.5</v>
      </c>
      <c r="O492" s="91">
        <v>41862</v>
      </c>
      <c r="P492" s="69"/>
      <c r="Q492" s="69"/>
      <c r="R492" s="69"/>
      <c r="S492" s="69"/>
      <c r="T492" s="69"/>
      <c r="U492" s="69"/>
      <c r="V492" s="69"/>
      <c r="W492" s="69"/>
    </row>
    <row r="493" spans="1:23" s="72" customFormat="1" ht="38.4" customHeight="1" x14ac:dyDescent="0.25">
      <c r="A493" s="118">
        <v>958</v>
      </c>
      <c r="B493" s="85" t="s">
        <v>945</v>
      </c>
      <c r="C493" s="85">
        <v>2013</v>
      </c>
      <c r="D493" s="160" t="s">
        <v>46</v>
      </c>
      <c r="E493" s="158">
        <v>2014</v>
      </c>
      <c r="F493" s="158" t="s">
        <v>328</v>
      </c>
      <c r="G493" s="77">
        <f>221700*M493/L493</f>
        <v>6218.5631868131868</v>
      </c>
      <c r="H493" s="77" t="s">
        <v>946</v>
      </c>
      <c r="I493" s="92" t="s">
        <v>41</v>
      </c>
      <c r="J493" s="142">
        <v>414</v>
      </c>
      <c r="K493" s="143">
        <v>1327</v>
      </c>
      <c r="L493" s="125" t="s">
        <v>914</v>
      </c>
      <c r="M493" s="125" t="s">
        <v>938</v>
      </c>
      <c r="N493" s="168">
        <f>221700*M493</f>
        <v>1131778.5</v>
      </c>
      <c r="O493" s="91">
        <v>41862</v>
      </c>
      <c r="P493" s="69"/>
      <c r="Q493" s="69"/>
      <c r="R493" s="69"/>
      <c r="S493" s="69"/>
      <c r="T493" s="69"/>
      <c r="U493" s="69"/>
      <c r="V493" s="69"/>
      <c r="W493" s="69"/>
    </row>
    <row r="494" spans="1:23" ht="42" customHeight="1" x14ac:dyDescent="0.25">
      <c r="A494" s="118">
        <v>959</v>
      </c>
      <c r="B494" s="85" t="s">
        <v>947</v>
      </c>
      <c r="C494" s="85">
        <v>2009</v>
      </c>
      <c r="D494" s="160" t="s">
        <v>46</v>
      </c>
      <c r="E494" s="158">
        <v>2014</v>
      </c>
      <c r="F494" s="158" t="s">
        <v>266</v>
      </c>
      <c r="G494" s="77">
        <f>148300*M494/L494</f>
        <v>4159.7335164835167</v>
      </c>
      <c r="H494" s="77" t="s">
        <v>948</v>
      </c>
      <c r="I494" s="92" t="s">
        <v>41</v>
      </c>
      <c r="J494" s="142">
        <v>415</v>
      </c>
      <c r="K494" s="143">
        <v>1328</v>
      </c>
      <c r="L494" s="125" t="s">
        <v>914</v>
      </c>
      <c r="M494" s="125" t="s">
        <v>938</v>
      </c>
      <c r="N494" s="168">
        <f>148300*M494</f>
        <v>757071.50000000012</v>
      </c>
      <c r="O494" s="91">
        <v>41862</v>
      </c>
      <c r="P494" s="69"/>
      <c r="Q494" s="69"/>
      <c r="R494" s="69"/>
      <c r="S494" s="69"/>
      <c r="T494" s="69"/>
      <c r="U494" s="69"/>
      <c r="V494" s="69"/>
      <c r="W494" s="69"/>
    </row>
    <row r="495" spans="1:23" ht="42" customHeight="1" x14ac:dyDescent="0.25">
      <c r="A495" s="118"/>
      <c r="B495" s="85" t="s">
        <v>219</v>
      </c>
      <c r="C495" s="85">
        <v>2009</v>
      </c>
      <c r="D495" s="160" t="s">
        <v>46</v>
      </c>
      <c r="E495" s="158" t="s">
        <v>901</v>
      </c>
      <c r="F495" s="158" t="s">
        <v>266</v>
      </c>
      <c r="G495" s="77">
        <f>139400*M495/L495</f>
        <v>3910.0934065934071</v>
      </c>
      <c r="H495" s="77" t="s">
        <v>949</v>
      </c>
      <c r="I495" s="92" t="s">
        <v>41</v>
      </c>
      <c r="J495" s="142">
        <v>416</v>
      </c>
      <c r="K495" s="143">
        <v>1329</v>
      </c>
      <c r="L495" s="125" t="s">
        <v>914</v>
      </c>
      <c r="M495" s="125" t="s">
        <v>938</v>
      </c>
      <c r="N495" s="168">
        <f>139400*M495</f>
        <v>711637.00000000012</v>
      </c>
      <c r="O495" s="91">
        <v>41862</v>
      </c>
      <c r="P495" s="69"/>
      <c r="Q495" s="69"/>
      <c r="R495" s="69"/>
      <c r="S495" s="69"/>
      <c r="T495" s="69"/>
      <c r="U495" s="69"/>
      <c r="V495" s="69"/>
      <c r="W495" s="69"/>
    </row>
    <row r="496" spans="1:23" ht="42" customHeight="1" x14ac:dyDescent="0.25">
      <c r="A496" s="118"/>
      <c r="B496" s="85" t="s">
        <v>78</v>
      </c>
      <c r="C496" s="85">
        <v>1997</v>
      </c>
      <c r="D496" s="160" t="s">
        <v>46</v>
      </c>
      <c r="E496" s="158" t="s">
        <v>926</v>
      </c>
      <c r="F496" s="158" t="s">
        <v>266</v>
      </c>
      <c r="G496" s="77">
        <f>134600*M496/L496</f>
        <v>3775.4560439560441</v>
      </c>
      <c r="H496" s="77" t="s">
        <v>950</v>
      </c>
      <c r="I496" s="92" t="s">
        <v>41</v>
      </c>
      <c r="J496" s="142">
        <v>417</v>
      </c>
      <c r="K496" s="143">
        <v>1330</v>
      </c>
      <c r="L496" s="125" t="s">
        <v>914</v>
      </c>
      <c r="M496" s="125" t="s">
        <v>938</v>
      </c>
      <c r="N496" s="168">
        <f>134600*M496</f>
        <v>687133</v>
      </c>
      <c r="O496" s="91">
        <v>41862</v>
      </c>
      <c r="P496" s="69"/>
      <c r="Q496" s="69"/>
      <c r="R496" s="69"/>
      <c r="S496" s="69"/>
      <c r="T496" s="69"/>
      <c r="U496" s="69"/>
      <c r="V496" s="69"/>
      <c r="W496" s="69"/>
    </row>
    <row r="497" spans="1:23" s="72" customFormat="1" ht="31.2" customHeight="1" x14ac:dyDescent="0.25">
      <c r="A497" s="118">
        <v>960</v>
      </c>
      <c r="B497" s="85" t="s">
        <v>951</v>
      </c>
      <c r="C497" s="85">
        <v>2006</v>
      </c>
      <c r="D497" s="160" t="s">
        <v>46</v>
      </c>
      <c r="E497" s="158">
        <v>2014</v>
      </c>
      <c r="F497" s="160" t="s">
        <v>323</v>
      </c>
      <c r="G497" s="77">
        <v>7978</v>
      </c>
      <c r="H497" s="77" t="s">
        <v>952</v>
      </c>
      <c r="I497" s="92" t="s">
        <v>41</v>
      </c>
      <c r="J497" s="142">
        <v>418</v>
      </c>
      <c r="K497" s="143">
        <v>1331</v>
      </c>
      <c r="L497" s="125" t="s">
        <v>910</v>
      </c>
      <c r="M497" s="125"/>
      <c r="N497" s="168">
        <f>7978*L497</f>
        <v>1458777.3</v>
      </c>
      <c r="O497" s="91">
        <v>41862</v>
      </c>
      <c r="P497" s="69"/>
      <c r="Q497" s="69"/>
      <c r="R497" s="69"/>
      <c r="S497" s="69"/>
      <c r="T497" s="69"/>
      <c r="U497" s="69"/>
      <c r="V497" s="69"/>
      <c r="W497" s="69"/>
    </row>
    <row r="498" spans="1:23" s="72" customFormat="1" ht="33" customHeight="1" x14ac:dyDescent="0.25">
      <c r="A498" s="118"/>
      <c r="B498" s="85" t="s">
        <v>228</v>
      </c>
      <c r="C498" s="85">
        <v>2005</v>
      </c>
      <c r="D498" s="160" t="s">
        <v>46</v>
      </c>
      <c r="E498" s="158" t="s">
        <v>901</v>
      </c>
      <c r="F498" s="160" t="s">
        <v>323</v>
      </c>
      <c r="G498" s="77">
        <v>7988</v>
      </c>
      <c r="H498" s="77" t="s">
        <v>953</v>
      </c>
      <c r="I498" s="92" t="s">
        <v>41</v>
      </c>
      <c r="J498" s="142">
        <v>419</v>
      </c>
      <c r="K498" s="143">
        <v>1332</v>
      </c>
      <c r="L498" s="125" t="s">
        <v>910</v>
      </c>
      <c r="M498" s="125"/>
      <c r="N498" s="168">
        <f>G498*L498</f>
        <v>1460605.8</v>
      </c>
      <c r="O498" s="91">
        <v>41862</v>
      </c>
      <c r="P498" s="69"/>
      <c r="Q498" s="69"/>
      <c r="R498" s="69"/>
      <c r="S498" s="69"/>
      <c r="T498" s="69"/>
      <c r="U498" s="69"/>
      <c r="V498" s="69"/>
      <c r="W498" s="69"/>
    </row>
    <row r="499" spans="1:23" s="72" customFormat="1" ht="32.4" customHeight="1" x14ac:dyDescent="0.25">
      <c r="A499" s="118">
        <v>961</v>
      </c>
      <c r="B499" s="85" t="s">
        <v>954</v>
      </c>
      <c r="C499" s="85">
        <v>2010</v>
      </c>
      <c r="D499" s="160" t="s">
        <v>46</v>
      </c>
      <c r="E499" s="158">
        <v>2014</v>
      </c>
      <c r="F499" s="160" t="s">
        <v>323</v>
      </c>
      <c r="G499" s="77">
        <v>7965</v>
      </c>
      <c r="H499" s="77" t="s">
        <v>955</v>
      </c>
      <c r="I499" s="92" t="s">
        <v>41</v>
      </c>
      <c r="J499" s="142">
        <v>420</v>
      </c>
      <c r="K499" s="143">
        <v>1333</v>
      </c>
      <c r="L499" s="125" t="s">
        <v>910</v>
      </c>
      <c r="M499" s="125"/>
      <c r="N499" s="168">
        <f>G499*L499</f>
        <v>1456400.25</v>
      </c>
      <c r="O499" s="91">
        <v>41862</v>
      </c>
      <c r="P499" s="69"/>
      <c r="Q499" s="69"/>
      <c r="R499" s="69"/>
      <c r="S499" s="69"/>
      <c r="T499" s="69"/>
      <c r="U499" s="69"/>
      <c r="V499" s="69"/>
      <c r="W499" s="69"/>
    </row>
    <row r="500" spans="1:23" s="72" customFormat="1" ht="31.2" customHeight="1" x14ac:dyDescent="0.25">
      <c r="A500" s="118">
        <v>962</v>
      </c>
      <c r="B500" s="85" t="s">
        <v>956</v>
      </c>
      <c r="C500" s="85">
        <v>2005</v>
      </c>
      <c r="D500" s="160" t="s">
        <v>46</v>
      </c>
      <c r="E500" s="158">
        <v>2014</v>
      </c>
      <c r="F500" s="160" t="s">
        <v>323</v>
      </c>
      <c r="G500" s="77">
        <v>7978</v>
      </c>
      <c r="H500" s="77" t="s">
        <v>952</v>
      </c>
      <c r="I500" s="92" t="s">
        <v>41</v>
      </c>
      <c r="J500" s="142">
        <v>421</v>
      </c>
      <c r="K500" s="143">
        <v>1334</v>
      </c>
      <c r="L500" s="125" t="s">
        <v>910</v>
      </c>
      <c r="M500" s="125"/>
      <c r="N500" s="168">
        <f>G500*L500</f>
        <v>1458777.3</v>
      </c>
      <c r="O500" s="91">
        <v>41862</v>
      </c>
      <c r="P500" s="69"/>
      <c r="Q500" s="69"/>
      <c r="R500" s="69"/>
      <c r="S500" s="69"/>
      <c r="T500" s="69"/>
      <c r="U500" s="69"/>
      <c r="V500" s="69"/>
      <c r="W500" s="69"/>
    </row>
    <row r="501" spans="1:23" s="72" customFormat="1" ht="34.200000000000003" customHeight="1" x14ac:dyDescent="0.25">
      <c r="A501" s="118">
        <v>963</v>
      </c>
      <c r="B501" s="85" t="s">
        <v>957</v>
      </c>
      <c r="C501" s="85">
        <v>2006</v>
      </c>
      <c r="D501" s="160" t="s">
        <v>46</v>
      </c>
      <c r="E501" s="158">
        <v>2014</v>
      </c>
      <c r="F501" s="160" t="s">
        <v>101</v>
      </c>
      <c r="G501" s="77">
        <v>7978</v>
      </c>
      <c r="H501" s="77" t="s">
        <v>952</v>
      </c>
      <c r="I501" s="92" t="s">
        <v>41</v>
      </c>
      <c r="J501" s="142">
        <v>422</v>
      </c>
      <c r="K501" s="143">
        <v>1335</v>
      </c>
      <c r="L501" s="125" t="s">
        <v>910</v>
      </c>
      <c r="M501" s="125"/>
      <c r="N501" s="168">
        <f>G501*L501</f>
        <v>1458777.3</v>
      </c>
      <c r="O501" s="91">
        <v>41862</v>
      </c>
      <c r="P501" s="69"/>
      <c r="Q501" s="69"/>
      <c r="R501" s="69"/>
      <c r="S501" s="69"/>
      <c r="T501" s="69"/>
      <c r="U501" s="69"/>
      <c r="V501" s="69"/>
      <c r="W501" s="69"/>
    </row>
    <row r="502" spans="1:23" s="72" customFormat="1" ht="53.4" customHeight="1" x14ac:dyDescent="0.25">
      <c r="A502" s="118"/>
      <c r="B502" s="85" t="s">
        <v>958</v>
      </c>
      <c r="C502" s="85">
        <v>2002</v>
      </c>
      <c r="D502" s="160" t="s">
        <v>46</v>
      </c>
      <c r="E502" s="158" t="s">
        <v>901</v>
      </c>
      <c r="F502" s="160" t="s">
        <v>293</v>
      </c>
      <c r="G502" s="77">
        <f>3894*M502/L502</f>
        <v>5287.0678021978028</v>
      </c>
      <c r="H502" s="77" t="s">
        <v>959</v>
      </c>
      <c r="I502" s="92" t="s">
        <v>41</v>
      </c>
      <c r="J502" s="142">
        <v>423</v>
      </c>
      <c r="K502" s="143">
        <v>1336</v>
      </c>
      <c r="L502" s="125" t="s">
        <v>914</v>
      </c>
      <c r="M502" s="125" t="s">
        <v>960</v>
      </c>
      <c r="N502" s="168">
        <f>3894*M502</f>
        <v>962246.34000000008</v>
      </c>
      <c r="O502" s="91">
        <v>41862</v>
      </c>
      <c r="P502" s="69"/>
      <c r="Q502" s="69"/>
      <c r="R502" s="69"/>
      <c r="S502" s="69"/>
      <c r="T502" s="69"/>
      <c r="U502" s="69"/>
      <c r="V502" s="69"/>
      <c r="W502" s="69"/>
    </row>
    <row r="503" spans="1:23" ht="40.950000000000003" customHeight="1" x14ac:dyDescent="0.25">
      <c r="A503" s="118">
        <v>964</v>
      </c>
      <c r="B503" s="85" t="s">
        <v>961</v>
      </c>
      <c r="C503" s="85">
        <v>2009</v>
      </c>
      <c r="D503" s="160" t="s">
        <v>46</v>
      </c>
      <c r="E503" s="158">
        <v>2014</v>
      </c>
      <c r="F503" s="160" t="s">
        <v>679</v>
      </c>
      <c r="G503" s="77">
        <f>21000*M503/L503</f>
        <v>589.03846153846166</v>
      </c>
      <c r="H503" s="77" t="s">
        <v>680</v>
      </c>
      <c r="I503" s="92" t="s">
        <v>41</v>
      </c>
      <c r="J503" s="142">
        <v>424</v>
      </c>
      <c r="K503" s="143">
        <v>1337</v>
      </c>
      <c r="L503" s="125" t="s">
        <v>914</v>
      </c>
      <c r="M503" s="125" t="s">
        <v>938</v>
      </c>
      <c r="N503" s="168">
        <f>21000*M503</f>
        <v>107205.00000000001</v>
      </c>
      <c r="O503" s="91">
        <v>41862</v>
      </c>
      <c r="P503" s="69"/>
      <c r="Q503" s="69"/>
      <c r="R503" s="69"/>
      <c r="S503" s="69"/>
      <c r="T503" s="69"/>
      <c r="U503" s="69"/>
      <c r="V503" s="69"/>
      <c r="W503" s="69"/>
    </row>
    <row r="504" spans="1:23" s="72" customFormat="1" ht="42" customHeight="1" x14ac:dyDescent="0.25">
      <c r="A504" s="118">
        <v>965</v>
      </c>
      <c r="B504" s="85" t="s">
        <v>962</v>
      </c>
      <c r="C504" s="85">
        <v>2009</v>
      </c>
      <c r="D504" s="160" t="s">
        <v>46</v>
      </c>
      <c r="E504" s="158">
        <v>2014</v>
      </c>
      <c r="F504" s="158" t="s">
        <v>328</v>
      </c>
      <c r="G504" s="77">
        <f>245800*M504/L504</f>
        <v>6894.5549450549452</v>
      </c>
      <c r="H504" s="77" t="s">
        <v>963</v>
      </c>
      <c r="I504" s="92" t="s">
        <v>41</v>
      </c>
      <c r="J504" s="142">
        <v>425</v>
      </c>
      <c r="K504" s="143">
        <v>1338</v>
      </c>
      <c r="L504" s="125" t="s">
        <v>914</v>
      </c>
      <c r="M504" s="125" t="s">
        <v>938</v>
      </c>
      <c r="N504" s="168">
        <f>245800*M504</f>
        <v>1254809</v>
      </c>
      <c r="O504" s="91">
        <v>41863</v>
      </c>
      <c r="P504" s="69"/>
      <c r="Q504" s="69"/>
      <c r="R504" s="69"/>
      <c r="S504" s="69"/>
      <c r="T504" s="69"/>
      <c r="U504" s="69"/>
      <c r="V504" s="69"/>
      <c r="W504" s="69"/>
    </row>
    <row r="505" spans="1:23" s="72" customFormat="1" ht="33.6" customHeight="1" x14ac:dyDescent="0.25">
      <c r="A505" s="118">
        <v>966</v>
      </c>
      <c r="B505" s="85" t="s">
        <v>964</v>
      </c>
      <c r="C505" s="85">
        <v>2006</v>
      </c>
      <c r="D505" s="160" t="s">
        <v>46</v>
      </c>
      <c r="E505" s="158">
        <v>2014</v>
      </c>
      <c r="F505" s="158" t="s">
        <v>328</v>
      </c>
      <c r="G505" s="77">
        <f>251700*M505/L505</f>
        <v>7060.0467032967035</v>
      </c>
      <c r="H505" s="77" t="s">
        <v>965</v>
      </c>
      <c r="I505" s="92" t="s">
        <v>41</v>
      </c>
      <c r="J505" s="142">
        <v>426</v>
      </c>
      <c r="K505" s="143">
        <v>1339</v>
      </c>
      <c r="L505" s="125" t="s">
        <v>914</v>
      </c>
      <c r="M505" s="125" t="s">
        <v>938</v>
      </c>
      <c r="N505" s="168">
        <f>251700*M505</f>
        <v>1284928.5</v>
      </c>
      <c r="O505" s="91">
        <v>41863</v>
      </c>
      <c r="P505" s="69"/>
      <c r="Q505" s="69"/>
      <c r="R505" s="69"/>
      <c r="S505" s="69"/>
      <c r="T505" s="69"/>
      <c r="U505" s="69"/>
      <c r="V505" s="69"/>
      <c r="W505" s="69"/>
    </row>
    <row r="506" spans="1:23" s="72" customFormat="1" ht="33" customHeight="1" x14ac:dyDescent="0.25">
      <c r="A506" s="118">
        <v>967</v>
      </c>
      <c r="B506" s="85" t="s">
        <v>966</v>
      </c>
      <c r="C506" s="85">
        <v>2010</v>
      </c>
      <c r="D506" s="160" t="s">
        <v>46</v>
      </c>
      <c r="E506" s="158">
        <v>2014</v>
      </c>
      <c r="F506" s="158" t="s">
        <v>328</v>
      </c>
      <c r="G506" s="77">
        <f>236800*M506/L506</f>
        <v>6642.1098901098903</v>
      </c>
      <c r="H506" s="77" t="s">
        <v>967</v>
      </c>
      <c r="I506" s="92" t="s">
        <v>41</v>
      </c>
      <c r="J506" s="142">
        <v>427</v>
      </c>
      <c r="K506" s="143">
        <v>1340</v>
      </c>
      <c r="L506" s="125" t="s">
        <v>914</v>
      </c>
      <c r="M506" s="125" t="s">
        <v>938</v>
      </c>
      <c r="N506" s="168">
        <f>236800*M506</f>
        <v>1208864</v>
      </c>
      <c r="O506" s="91">
        <v>41863</v>
      </c>
      <c r="P506" s="69"/>
      <c r="Q506" s="69"/>
      <c r="R506" s="69"/>
      <c r="S506" s="69"/>
      <c r="T506" s="69"/>
      <c r="U506" s="69"/>
      <c r="V506" s="69"/>
      <c r="W506" s="69"/>
    </row>
    <row r="507" spans="1:23" s="72" customFormat="1" ht="39.6" customHeight="1" x14ac:dyDescent="0.25">
      <c r="A507" s="118">
        <v>968</v>
      </c>
      <c r="B507" s="85" t="s">
        <v>968</v>
      </c>
      <c r="C507" s="85">
        <v>2013</v>
      </c>
      <c r="D507" s="160" t="s">
        <v>46</v>
      </c>
      <c r="E507" s="158">
        <v>2014</v>
      </c>
      <c r="F507" s="158" t="s">
        <v>328</v>
      </c>
      <c r="G507" s="77">
        <f>218800*M507/L507</f>
        <v>6137.2197802197807</v>
      </c>
      <c r="H507" s="77" t="s">
        <v>969</v>
      </c>
      <c r="I507" s="92" t="s">
        <v>41</v>
      </c>
      <c r="J507" s="142">
        <v>428</v>
      </c>
      <c r="K507" s="143">
        <v>1341</v>
      </c>
      <c r="L507" s="125" t="s">
        <v>914</v>
      </c>
      <c r="M507" s="125" t="s">
        <v>938</v>
      </c>
      <c r="N507" s="168">
        <f>218800*M507</f>
        <v>1116974</v>
      </c>
      <c r="O507" s="91">
        <v>41863</v>
      </c>
      <c r="P507" s="69"/>
      <c r="Q507" s="69"/>
      <c r="R507" s="69"/>
      <c r="S507" s="69"/>
      <c r="T507" s="69"/>
      <c r="U507" s="69"/>
      <c r="V507" s="69"/>
      <c r="W507" s="69"/>
    </row>
    <row r="508" spans="1:23" ht="42" customHeight="1" x14ac:dyDescent="0.25">
      <c r="A508" s="118">
        <v>969</v>
      </c>
      <c r="B508" s="85" t="s">
        <v>970</v>
      </c>
      <c r="C508" s="85">
        <v>2011</v>
      </c>
      <c r="D508" s="160" t="s">
        <v>46</v>
      </c>
      <c r="E508" s="158">
        <v>2014</v>
      </c>
      <c r="F508" s="158" t="s">
        <v>266</v>
      </c>
      <c r="G508" s="77">
        <f>137100*M508/L508</f>
        <v>3845.579670329671</v>
      </c>
      <c r="H508" s="77" t="s">
        <v>971</v>
      </c>
      <c r="I508" s="92" t="s">
        <v>41</v>
      </c>
      <c r="J508" s="142">
        <v>429</v>
      </c>
      <c r="K508" s="143">
        <v>1342</v>
      </c>
      <c r="L508" s="125" t="s">
        <v>914</v>
      </c>
      <c r="M508" s="125" t="s">
        <v>938</v>
      </c>
      <c r="N508" s="168">
        <f>137100*M508</f>
        <v>699895.50000000012</v>
      </c>
      <c r="O508" s="91">
        <v>41863</v>
      </c>
      <c r="P508" s="69"/>
      <c r="Q508" s="69"/>
      <c r="R508" s="69"/>
      <c r="S508" s="69"/>
      <c r="T508" s="69"/>
      <c r="U508" s="69"/>
      <c r="V508" s="69"/>
      <c r="W508" s="69"/>
    </row>
    <row r="509" spans="1:23" ht="34.950000000000003" customHeight="1" x14ac:dyDescent="0.25">
      <c r="A509" s="118"/>
      <c r="B509" s="85" t="s">
        <v>187</v>
      </c>
      <c r="C509" s="85">
        <v>2004</v>
      </c>
      <c r="D509" s="160" t="s">
        <v>46</v>
      </c>
      <c r="E509" s="158" t="s">
        <v>473</v>
      </c>
      <c r="F509" s="160" t="s">
        <v>208</v>
      </c>
      <c r="G509" s="77">
        <f>198000*M509/L509</f>
        <v>5553.7912087912091</v>
      </c>
      <c r="H509" s="77" t="s">
        <v>199</v>
      </c>
      <c r="I509" s="92" t="s">
        <v>41</v>
      </c>
      <c r="J509" s="142">
        <v>430</v>
      </c>
      <c r="K509" s="143">
        <v>1343</v>
      </c>
      <c r="L509" s="125" t="s">
        <v>914</v>
      </c>
      <c r="M509" s="125" t="s">
        <v>938</v>
      </c>
      <c r="N509" s="168">
        <f>198000*M509</f>
        <v>1010790.0000000001</v>
      </c>
      <c r="O509" s="91">
        <v>41863</v>
      </c>
      <c r="P509" s="69"/>
      <c r="Q509" s="69"/>
      <c r="R509" s="69"/>
      <c r="S509" s="69"/>
      <c r="T509" s="69"/>
      <c r="U509" s="69"/>
      <c r="V509" s="69"/>
      <c r="W509" s="69"/>
    </row>
    <row r="510" spans="1:23" ht="35.4" customHeight="1" x14ac:dyDescent="0.25">
      <c r="A510" s="118"/>
      <c r="B510" s="85" t="s">
        <v>77</v>
      </c>
      <c r="C510" s="85">
        <v>2010</v>
      </c>
      <c r="D510" s="160" t="s">
        <v>46</v>
      </c>
      <c r="E510" s="158" t="s">
        <v>524</v>
      </c>
      <c r="F510" s="160" t="s">
        <v>208</v>
      </c>
      <c r="G510" s="77">
        <f>198000*M510/L510</f>
        <v>5553.7912087912091</v>
      </c>
      <c r="H510" s="77" t="s">
        <v>199</v>
      </c>
      <c r="I510" s="92" t="s">
        <v>41</v>
      </c>
      <c r="J510" s="142">
        <v>431</v>
      </c>
      <c r="K510" s="143">
        <v>1344</v>
      </c>
      <c r="L510" s="125" t="s">
        <v>914</v>
      </c>
      <c r="M510" s="125" t="s">
        <v>938</v>
      </c>
      <c r="N510" s="168">
        <f>198000*M510</f>
        <v>1010790.0000000001</v>
      </c>
      <c r="O510" s="91">
        <v>41863</v>
      </c>
      <c r="P510" s="69"/>
      <c r="Q510" s="69"/>
      <c r="R510" s="69"/>
      <c r="S510" s="69"/>
      <c r="T510" s="69"/>
      <c r="U510" s="69"/>
      <c r="V510" s="69"/>
      <c r="W510" s="69"/>
    </row>
    <row r="511" spans="1:23" s="72" customFormat="1" ht="51.6" customHeight="1" x14ac:dyDescent="0.25">
      <c r="A511" s="118"/>
      <c r="B511" s="85" t="s">
        <v>972</v>
      </c>
      <c r="C511" s="85">
        <v>2005</v>
      </c>
      <c r="D511" s="160" t="s">
        <v>46</v>
      </c>
      <c r="E511" s="158" t="s">
        <v>901</v>
      </c>
      <c r="F511" s="160" t="s">
        <v>156</v>
      </c>
      <c r="G511" s="77">
        <v>7996</v>
      </c>
      <c r="H511" s="77" t="s">
        <v>973</v>
      </c>
      <c r="I511" s="92" t="s">
        <v>41</v>
      </c>
      <c r="J511" s="142">
        <v>432</v>
      </c>
      <c r="K511" s="143">
        <v>1345</v>
      </c>
      <c r="L511" s="125" t="s">
        <v>910</v>
      </c>
      <c r="M511" s="125"/>
      <c r="N511" s="168">
        <f>G511*L511</f>
        <v>1462068.5999999999</v>
      </c>
      <c r="O511" s="91">
        <v>41863</v>
      </c>
      <c r="P511" s="69"/>
      <c r="Q511" s="69"/>
      <c r="R511" s="69"/>
      <c r="S511" s="69"/>
      <c r="T511" s="69"/>
      <c r="U511" s="69"/>
      <c r="V511" s="69"/>
      <c r="W511" s="69"/>
    </row>
    <row r="512" spans="1:23" s="72" customFormat="1" ht="55.5" customHeight="1" x14ac:dyDescent="0.25">
      <c r="A512" s="118">
        <v>970</v>
      </c>
      <c r="B512" s="85" t="s">
        <v>974</v>
      </c>
      <c r="C512" s="85">
        <v>2012</v>
      </c>
      <c r="D512" s="160" t="s">
        <v>46</v>
      </c>
      <c r="E512" s="158">
        <v>2014</v>
      </c>
      <c r="F512" s="160" t="s">
        <v>156</v>
      </c>
      <c r="G512" s="77">
        <v>7990</v>
      </c>
      <c r="H512" s="77" t="s">
        <v>724</v>
      </c>
      <c r="I512" s="92" t="s">
        <v>41</v>
      </c>
      <c r="J512" s="142">
        <v>433</v>
      </c>
      <c r="K512" s="143">
        <v>1346</v>
      </c>
      <c r="L512" s="125" t="s">
        <v>910</v>
      </c>
      <c r="M512" s="125"/>
      <c r="N512" s="168">
        <f>7990*L512</f>
        <v>1460971.5</v>
      </c>
      <c r="O512" s="91">
        <v>41863</v>
      </c>
      <c r="P512" s="69"/>
      <c r="Q512" s="69"/>
      <c r="R512" s="69"/>
      <c r="S512" s="69"/>
      <c r="T512" s="69"/>
      <c r="U512" s="69"/>
      <c r="V512" s="69"/>
      <c r="W512" s="69"/>
    </row>
    <row r="513" spans="1:23" ht="32.4" customHeight="1" x14ac:dyDescent="0.25">
      <c r="A513" s="118">
        <v>971</v>
      </c>
      <c r="B513" s="85" t="s">
        <v>975</v>
      </c>
      <c r="C513" s="85">
        <v>2012</v>
      </c>
      <c r="D513" s="160" t="s">
        <v>46</v>
      </c>
      <c r="E513" s="158">
        <v>2014</v>
      </c>
      <c r="F513" s="160" t="s">
        <v>101</v>
      </c>
      <c r="G513" s="77">
        <v>7988</v>
      </c>
      <c r="H513" s="77" t="s">
        <v>953</v>
      </c>
      <c r="I513" s="92" t="s">
        <v>41</v>
      </c>
      <c r="J513" s="142">
        <v>434</v>
      </c>
      <c r="K513" s="143">
        <v>1347</v>
      </c>
      <c r="L513" s="125" t="s">
        <v>910</v>
      </c>
      <c r="M513" s="125"/>
      <c r="N513" s="168">
        <f t="shared" ref="N513:N518" si="6">G513*L513</f>
        <v>1460605.8</v>
      </c>
      <c r="O513" s="91">
        <v>41863</v>
      </c>
      <c r="P513" s="69"/>
      <c r="Q513" s="69"/>
      <c r="R513" s="69"/>
      <c r="S513" s="69"/>
      <c r="T513" s="69"/>
      <c r="U513" s="69"/>
      <c r="V513" s="69"/>
      <c r="W513" s="69"/>
    </row>
    <row r="514" spans="1:23" s="72" customFormat="1" ht="30" customHeight="1" x14ac:dyDescent="0.25">
      <c r="A514" s="118">
        <v>972</v>
      </c>
      <c r="B514" s="85" t="s">
        <v>976</v>
      </c>
      <c r="C514" s="85">
        <v>1999</v>
      </c>
      <c r="D514" s="160" t="s">
        <v>46</v>
      </c>
      <c r="E514" s="158">
        <v>2014</v>
      </c>
      <c r="F514" s="160" t="s">
        <v>101</v>
      </c>
      <c r="G514" s="77">
        <v>7875</v>
      </c>
      <c r="H514" s="77" t="s">
        <v>977</v>
      </c>
      <c r="I514" s="92" t="s">
        <v>41</v>
      </c>
      <c r="J514" s="142">
        <v>435</v>
      </c>
      <c r="K514" s="143">
        <v>1348</v>
      </c>
      <c r="L514" s="125" t="s">
        <v>910</v>
      </c>
      <c r="M514" s="125"/>
      <c r="N514" s="168">
        <f t="shared" si="6"/>
        <v>1439943.75</v>
      </c>
      <c r="O514" s="91">
        <v>41863</v>
      </c>
      <c r="P514" s="69"/>
      <c r="Q514" s="69"/>
      <c r="R514" s="69"/>
      <c r="S514" s="69"/>
      <c r="T514" s="69"/>
      <c r="U514" s="69"/>
      <c r="V514" s="69"/>
      <c r="W514" s="69"/>
    </row>
    <row r="515" spans="1:23" ht="34.200000000000003" customHeight="1" x14ac:dyDescent="0.25">
      <c r="A515" s="118">
        <v>973</v>
      </c>
      <c r="B515" s="85" t="s">
        <v>978</v>
      </c>
      <c r="C515" s="85">
        <v>2005</v>
      </c>
      <c r="D515" s="160" t="s">
        <v>46</v>
      </c>
      <c r="E515" s="158">
        <v>2014</v>
      </c>
      <c r="F515" s="160" t="s">
        <v>101</v>
      </c>
      <c r="G515" s="77">
        <v>7949</v>
      </c>
      <c r="H515" s="77" t="s">
        <v>979</v>
      </c>
      <c r="I515" s="92" t="s">
        <v>41</v>
      </c>
      <c r="J515" s="142">
        <v>436</v>
      </c>
      <c r="K515" s="143">
        <v>1349</v>
      </c>
      <c r="L515" s="125" t="s">
        <v>910</v>
      </c>
      <c r="M515" s="125"/>
      <c r="N515" s="168">
        <f t="shared" si="6"/>
        <v>1453474.65</v>
      </c>
      <c r="O515" s="91">
        <v>41863</v>
      </c>
      <c r="P515" s="69"/>
      <c r="Q515" s="69"/>
      <c r="R515" s="69"/>
      <c r="S515" s="69"/>
      <c r="T515" s="69"/>
      <c r="U515" s="69"/>
      <c r="V515" s="69"/>
      <c r="W515" s="69"/>
    </row>
    <row r="516" spans="1:23" ht="32.4" customHeight="1" x14ac:dyDescent="0.25">
      <c r="A516" s="118">
        <v>974</v>
      </c>
      <c r="B516" s="85" t="s">
        <v>980</v>
      </c>
      <c r="C516" s="85">
        <v>2010</v>
      </c>
      <c r="D516" s="160" t="s">
        <v>46</v>
      </c>
      <c r="E516" s="158">
        <v>2014</v>
      </c>
      <c r="F516" s="160" t="s">
        <v>101</v>
      </c>
      <c r="G516" s="77">
        <v>7988</v>
      </c>
      <c r="H516" s="77" t="s">
        <v>953</v>
      </c>
      <c r="I516" s="92" t="s">
        <v>41</v>
      </c>
      <c r="J516" s="142">
        <v>437</v>
      </c>
      <c r="K516" s="143">
        <v>1350</v>
      </c>
      <c r="L516" s="125" t="s">
        <v>910</v>
      </c>
      <c r="M516" s="125"/>
      <c r="N516" s="168">
        <f t="shared" si="6"/>
        <v>1460605.8</v>
      </c>
      <c r="O516" s="91">
        <v>41863</v>
      </c>
      <c r="P516" s="69"/>
      <c r="Q516" s="69"/>
      <c r="R516" s="69"/>
      <c r="S516" s="69"/>
      <c r="T516" s="69"/>
      <c r="U516" s="69"/>
      <c r="V516" s="69"/>
      <c r="W516" s="69"/>
    </row>
    <row r="517" spans="1:23" ht="35.4" customHeight="1" x14ac:dyDescent="0.25">
      <c r="A517" s="118">
        <v>975</v>
      </c>
      <c r="B517" s="85" t="s">
        <v>981</v>
      </c>
      <c r="C517" s="85">
        <v>2011</v>
      </c>
      <c r="D517" s="160" t="s">
        <v>46</v>
      </c>
      <c r="E517" s="158">
        <v>2014</v>
      </c>
      <c r="F517" s="160" t="s">
        <v>101</v>
      </c>
      <c r="G517" s="77">
        <v>7975</v>
      </c>
      <c r="H517" s="77" t="s">
        <v>982</v>
      </c>
      <c r="I517" s="92" t="s">
        <v>41</v>
      </c>
      <c r="J517" s="142">
        <v>438</v>
      </c>
      <c r="K517" s="143">
        <v>1351</v>
      </c>
      <c r="L517" s="125" t="s">
        <v>910</v>
      </c>
      <c r="M517" s="125"/>
      <c r="N517" s="168">
        <f t="shared" si="6"/>
        <v>1458228.75</v>
      </c>
      <c r="O517" s="91">
        <v>41863</v>
      </c>
      <c r="P517" s="69"/>
      <c r="Q517" s="69"/>
      <c r="R517" s="69"/>
      <c r="S517" s="69"/>
      <c r="T517" s="69"/>
      <c r="U517" s="69"/>
      <c r="V517" s="69"/>
      <c r="W517" s="69"/>
    </row>
    <row r="518" spans="1:23" s="72" customFormat="1" ht="34.200000000000003" customHeight="1" x14ac:dyDescent="0.25">
      <c r="A518" s="118"/>
      <c r="B518" s="85" t="s">
        <v>189</v>
      </c>
      <c r="C518" s="85">
        <v>2012</v>
      </c>
      <c r="D518" s="160" t="s">
        <v>46</v>
      </c>
      <c r="E518" s="158" t="s">
        <v>524</v>
      </c>
      <c r="F518" s="160" t="s">
        <v>101</v>
      </c>
      <c r="G518" s="77">
        <v>3994</v>
      </c>
      <c r="H518" s="77" t="s">
        <v>983</v>
      </c>
      <c r="I518" s="92" t="s">
        <v>41</v>
      </c>
      <c r="J518" s="142">
        <v>439</v>
      </c>
      <c r="K518" s="143">
        <v>1352</v>
      </c>
      <c r="L518" s="125" t="s">
        <v>910</v>
      </c>
      <c r="M518" s="125"/>
      <c r="N518" s="168">
        <f t="shared" si="6"/>
        <v>730302.9</v>
      </c>
      <c r="O518" s="91">
        <v>41863</v>
      </c>
      <c r="P518" s="69"/>
      <c r="Q518" s="69"/>
      <c r="R518" s="69"/>
      <c r="S518" s="69"/>
      <c r="T518" s="69"/>
      <c r="U518" s="69"/>
      <c r="V518" s="69"/>
      <c r="W518" s="69"/>
    </row>
    <row r="519" spans="1:23" s="72" customFormat="1" ht="55.95" customHeight="1" x14ac:dyDescent="0.25">
      <c r="A519" s="118">
        <v>976</v>
      </c>
      <c r="B519" s="85" t="s">
        <v>984</v>
      </c>
      <c r="C519" s="85">
        <v>2003</v>
      </c>
      <c r="D519" s="160" t="s">
        <v>46</v>
      </c>
      <c r="E519" s="158">
        <v>2014</v>
      </c>
      <c r="F519" s="160" t="s">
        <v>293</v>
      </c>
      <c r="G519" s="77">
        <f>3894*M519/L519</f>
        <v>5275.3002197802198</v>
      </c>
      <c r="H519" s="77" t="s">
        <v>959</v>
      </c>
      <c r="I519" s="92" t="s">
        <v>41</v>
      </c>
      <c r="J519" s="142">
        <v>440</v>
      </c>
      <c r="K519" s="143">
        <v>1353</v>
      </c>
      <c r="L519" s="125" t="s">
        <v>914</v>
      </c>
      <c r="M519" s="125" t="s">
        <v>985</v>
      </c>
      <c r="N519" s="168">
        <f>3894*M519</f>
        <v>960104.64</v>
      </c>
      <c r="O519" s="91">
        <v>41863</v>
      </c>
      <c r="P519" s="69"/>
      <c r="Q519" s="69"/>
      <c r="R519" s="69"/>
      <c r="S519" s="69"/>
      <c r="T519" s="69"/>
      <c r="U519" s="69"/>
      <c r="V519" s="69"/>
      <c r="W519" s="69"/>
    </row>
    <row r="520" spans="1:23" ht="42" customHeight="1" x14ac:dyDescent="0.25">
      <c r="A520" s="118"/>
      <c r="B520" s="85" t="s">
        <v>114</v>
      </c>
      <c r="C520" s="85">
        <v>2004</v>
      </c>
      <c r="D520" s="160" t="s">
        <v>46</v>
      </c>
      <c r="E520" s="158" t="s">
        <v>473</v>
      </c>
      <c r="F520" s="160" t="s">
        <v>679</v>
      </c>
      <c r="G520" s="77">
        <f>21000*M520/L520</f>
        <v>592.38461538461536</v>
      </c>
      <c r="H520" s="77" t="s">
        <v>680</v>
      </c>
      <c r="I520" s="92" t="s">
        <v>41</v>
      </c>
      <c r="J520" s="142">
        <v>441</v>
      </c>
      <c r="K520" s="143">
        <v>1354</v>
      </c>
      <c r="L520" s="125" t="s">
        <v>914</v>
      </c>
      <c r="M520" s="125" t="s">
        <v>986</v>
      </c>
      <c r="N520" s="168">
        <f>21000*M520</f>
        <v>107814</v>
      </c>
      <c r="O520" s="91">
        <v>41863</v>
      </c>
      <c r="P520" s="69"/>
      <c r="Q520" s="69"/>
      <c r="R520" s="69"/>
      <c r="S520" s="69"/>
      <c r="T520" s="69"/>
      <c r="U520" s="69"/>
      <c r="V520" s="69"/>
      <c r="W520" s="69"/>
    </row>
    <row r="521" spans="1:23" s="72" customFormat="1" ht="35.4" customHeight="1" x14ac:dyDescent="0.25">
      <c r="A521" s="118">
        <v>977</v>
      </c>
      <c r="B521" s="85" t="s">
        <v>987</v>
      </c>
      <c r="C521" s="85">
        <v>2005</v>
      </c>
      <c r="D521" s="160" t="s">
        <v>46</v>
      </c>
      <c r="E521" s="158">
        <v>2014</v>
      </c>
      <c r="F521" s="160" t="s">
        <v>534</v>
      </c>
      <c r="G521" s="77">
        <f>40000*M521/L521</f>
        <v>6582.4175824175827</v>
      </c>
      <c r="H521" s="77" t="s">
        <v>745</v>
      </c>
      <c r="I521" s="92" t="s">
        <v>41</v>
      </c>
      <c r="J521" s="142">
        <v>442</v>
      </c>
      <c r="K521" s="143">
        <v>1355</v>
      </c>
      <c r="L521" s="125" t="s">
        <v>914</v>
      </c>
      <c r="M521" s="125" t="s">
        <v>988</v>
      </c>
      <c r="N521" s="168">
        <f>40000*M521</f>
        <v>1198000</v>
      </c>
      <c r="O521" s="91">
        <v>41865</v>
      </c>
      <c r="P521" s="69"/>
      <c r="Q521" s="69"/>
      <c r="R521" s="69"/>
      <c r="S521" s="69"/>
      <c r="T521" s="69"/>
      <c r="U521" s="69"/>
      <c r="V521" s="69"/>
      <c r="W521" s="69"/>
    </row>
    <row r="522" spans="1:23" s="72" customFormat="1" ht="34.200000000000003" customHeight="1" x14ac:dyDescent="0.25">
      <c r="A522" s="118"/>
      <c r="B522" s="85" t="s">
        <v>191</v>
      </c>
      <c r="C522" s="85">
        <v>2007</v>
      </c>
      <c r="D522" s="160" t="s">
        <v>46</v>
      </c>
      <c r="E522" s="158" t="s">
        <v>473</v>
      </c>
      <c r="F522" s="160" t="s">
        <v>534</v>
      </c>
      <c r="G522" s="77">
        <f>40000*M522/L522</f>
        <v>6578.0219780219777</v>
      </c>
      <c r="H522" s="77" t="s">
        <v>745</v>
      </c>
      <c r="I522" s="92" t="s">
        <v>41</v>
      </c>
      <c r="J522" s="142">
        <v>443</v>
      </c>
      <c r="K522" s="143">
        <v>1356</v>
      </c>
      <c r="L522" s="125" t="s">
        <v>914</v>
      </c>
      <c r="M522" s="125" t="s">
        <v>989</v>
      </c>
      <c r="N522" s="168">
        <f>40000*M522</f>
        <v>1197200</v>
      </c>
      <c r="O522" s="91">
        <v>41866</v>
      </c>
      <c r="P522" s="69"/>
      <c r="Q522" s="69"/>
      <c r="R522" s="69"/>
      <c r="S522" s="69"/>
      <c r="T522" s="69"/>
      <c r="U522" s="69"/>
      <c r="V522" s="69"/>
      <c r="W522" s="69"/>
    </row>
    <row r="523" spans="1:23" s="72" customFormat="1" ht="55.95" customHeight="1" x14ac:dyDescent="0.25">
      <c r="A523" s="118">
        <v>978</v>
      </c>
      <c r="B523" s="85" t="s">
        <v>990</v>
      </c>
      <c r="C523" s="85">
        <v>2005</v>
      </c>
      <c r="D523" s="160" t="s">
        <v>46</v>
      </c>
      <c r="E523" s="158">
        <v>2014</v>
      </c>
      <c r="F523" s="160" t="s">
        <v>293</v>
      </c>
      <c r="G523" s="77">
        <f>3894*M523/L523</f>
        <v>5273.3746153846159</v>
      </c>
      <c r="H523" s="77" t="s">
        <v>959</v>
      </c>
      <c r="I523" s="92" t="s">
        <v>41</v>
      </c>
      <c r="J523" s="142">
        <v>444</v>
      </c>
      <c r="K523" s="143">
        <v>1357</v>
      </c>
      <c r="L523" s="125" t="s">
        <v>914</v>
      </c>
      <c r="M523" s="125" t="s">
        <v>991</v>
      </c>
      <c r="N523" s="168">
        <f>3894*M523</f>
        <v>959754.18</v>
      </c>
      <c r="O523" s="91">
        <v>41866</v>
      </c>
      <c r="P523" s="69"/>
      <c r="Q523" s="69"/>
      <c r="R523" s="69"/>
      <c r="S523" s="69"/>
      <c r="T523" s="69"/>
      <c r="U523" s="69"/>
      <c r="V523" s="69"/>
      <c r="W523" s="69"/>
    </row>
    <row r="524" spans="1:23" s="72" customFormat="1" ht="37.200000000000003" customHeight="1" x14ac:dyDescent="0.25">
      <c r="A524" s="118">
        <v>979</v>
      </c>
      <c r="B524" s="85" t="s">
        <v>992</v>
      </c>
      <c r="C524" s="85">
        <v>2009</v>
      </c>
      <c r="D524" s="160" t="s">
        <v>46</v>
      </c>
      <c r="E524" s="158">
        <v>2014</v>
      </c>
      <c r="F524" s="165" t="s">
        <v>288</v>
      </c>
      <c r="G524" s="77">
        <f>4563*M524/L524</f>
        <v>6179.3550000000005</v>
      </c>
      <c r="H524" s="77" t="s">
        <v>993</v>
      </c>
      <c r="I524" s="92" t="s">
        <v>41</v>
      </c>
      <c r="J524" s="142">
        <v>445</v>
      </c>
      <c r="K524" s="143">
        <v>1358</v>
      </c>
      <c r="L524" s="125" t="s">
        <v>914</v>
      </c>
      <c r="M524" s="125" t="s">
        <v>991</v>
      </c>
      <c r="N524" s="168">
        <f>4563*M524</f>
        <v>1124642.6100000001</v>
      </c>
      <c r="O524" s="91">
        <v>41866</v>
      </c>
      <c r="P524" s="69"/>
      <c r="Q524" s="69"/>
      <c r="R524" s="69"/>
      <c r="S524" s="69"/>
      <c r="T524" s="69"/>
      <c r="U524" s="69"/>
      <c r="V524" s="69"/>
      <c r="W524" s="69"/>
    </row>
    <row r="525" spans="1:23" s="72" customFormat="1" ht="45.6" customHeight="1" x14ac:dyDescent="0.25">
      <c r="A525" s="118"/>
      <c r="B525" s="85" t="s">
        <v>490</v>
      </c>
      <c r="C525" s="85">
        <v>1995</v>
      </c>
      <c r="D525" s="160" t="s">
        <v>46</v>
      </c>
      <c r="E525" s="158" t="s">
        <v>272</v>
      </c>
      <c r="F525" s="94" t="s">
        <v>340</v>
      </c>
      <c r="G525" s="77">
        <v>1330</v>
      </c>
      <c r="H525" s="77" t="s">
        <v>994</v>
      </c>
      <c r="I525" s="92" t="s">
        <v>720</v>
      </c>
      <c r="J525" s="142"/>
      <c r="K525" s="143"/>
      <c r="L525" s="125" t="s">
        <v>910</v>
      </c>
      <c r="M525" s="125"/>
      <c r="N525" s="168">
        <f>G525*L525</f>
        <v>243190.5</v>
      </c>
      <c r="O525" s="91">
        <v>41872</v>
      </c>
      <c r="P525" s="69"/>
      <c r="Q525" s="69"/>
      <c r="R525" s="69"/>
      <c r="S525" s="69"/>
      <c r="T525" s="69"/>
      <c r="U525" s="69"/>
      <c r="V525" s="69"/>
      <c r="W525" s="69"/>
    </row>
    <row r="526" spans="1:23" s="70" customFormat="1" ht="66.75" customHeight="1" x14ac:dyDescent="0.25">
      <c r="A526" s="118">
        <v>980</v>
      </c>
      <c r="B526" s="85" t="s">
        <v>995</v>
      </c>
      <c r="C526" s="85">
        <v>2013</v>
      </c>
      <c r="D526" s="160" t="s">
        <v>996</v>
      </c>
      <c r="E526" s="158">
        <v>2014</v>
      </c>
      <c r="F526" s="160" t="s">
        <v>201</v>
      </c>
      <c r="G526" s="77">
        <f>N526/L526</f>
        <v>570.46510989010983</v>
      </c>
      <c r="H526" s="77" t="s">
        <v>1289</v>
      </c>
      <c r="I526" s="92" t="s">
        <v>720</v>
      </c>
      <c r="J526" s="142">
        <v>446</v>
      </c>
      <c r="K526" s="143">
        <v>1359</v>
      </c>
      <c r="L526" s="125" t="s">
        <v>914</v>
      </c>
      <c r="M526" s="125" t="s">
        <v>997</v>
      </c>
      <c r="N526" s="168">
        <f>20450*M526</f>
        <v>103824.65</v>
      </c>
      <c r="O526" s="91">
        <v>41872</v>
      </c>
      <c r="P526" s="69"/>
      <c r="Q526" s="69"/>
      <c r="R526" s="69"/>
      <c r="S526" s="69"/>
      <c r="T526" s="69"/>
      <c r="U526" s="69"/>
      <c r="V526" s="69"/>
      <c r="W526" s="69"/>
    </row>
    <row r="527" spans="1:23" s="72" customFormat="1" ht="42.75" customHeight="1" x14ac:dyDescent="0.25">
      <c r="A527" s="118"/>
      <c r="B527" s="85" t="s">
        <v>335</v>
      </c>
      <c r="C527" s="85">
        <v>2013</v>
      </c>
      <c r="D527" s="158" t="s">
        <v>336</v>
      </c>
      <c r="E527" s="158" t="s">
        <v>272</v>
      </c>
      <c r="F527" s="160" t="s">
        <v>333</v>
      </c>
      <c r="G527" s="77">
        <f>850*M527/L527</f>
        <v>23.912087912087912</v>
      </c>
      <c r="H527" s="77" t="s">
        <v>998</v>
      </c>
      <c r="I527" s="92" t="s">
        <v>720</v>
      </c>
      <c r="J527" s="142"/>
      <c r="K527" s="143"/>
      <c r="L527" s="125" t="s">
        <v>914</v>
      </c>
      <c r="M527" s="125" t="s">
        <v>506</v>
      </c>
      <c r="N527" s="168">
        <f>850*M527</f>
        <v>4352</v>
      </c>
      <c r="O527" s="91">
        <v>41873</v>
      </c>
      <c r="P527" s="69"/>
      <c r="Q527" s="69"/>
      <c r="R527" s="69"/>
      <c r="S527" s="69"/>
      <c r="T527" s="69"/>
      <c r="U527" s="69"/>
      <c r="V527" s="69"/>
      <c r="W527" s="69"/>
    </row>
    <row r="528" spans="1:23" s="72" customFormat="1" ht="66.75" customHeight="1" x14ac:dyDescent="0.25">
      <c r="A528" s="118"/>
      <c r="B528" s="85" t="s">
        <v>19</v>
      </c>
      <c r="C528" s="85">
        <v>2012</v>
      </c>
      <c r="D528" s="93" t="s">
        <v>20</v>
      </c>
      <c r="E528" s="158" t="s">
        <v>364</v>
      </c>
      <c r="F528" s="93" t="s">
        <v>18</v>
      </c>
      <c r="G528" s="77">
        <f>91000*M528/L528</f>
        <v>2560</v>
      </c>
      <c r="H528" s="77" t="s">
        <v>999</v>
      </c>
      <c r="I528" s="92" t="s">
        <v>720</v>
      </c>
      <c r="J528" s="142">
        <v>447</v>
      </c>
      <c r="K528" s="143">
        <v>1360</v>
      </c>
      <c r="L528" s="125" t="s">
        <v>914</v>
      </c>
      <c r="M528" s="125" t="s">
        <v>506</v>
      </c>
      <c r="N528" s="168">
        <f>91000*M528</f>
        <v>465920</v>
      </c>
      <c r="O528" s="91">
        <v>41873</v>
      </c>
      <c r="P528" s="69"/>
      <c r="Q528" s="69"/>
      <c r="R528" s="69"/>
      <c r="S528" s="69"/>
      <c r="T528" s="69"/>
      <c r="U528" s="69"/>
      <c r="V528" s="69"/>
      <c r="W528" s="69"/>
    </row>
    <row r="529" spans="1:23" s="67" customFormat="1" ht="43.95" customHeight="1" x14ac:dyDescent="0.25">
      <c r="A529" s="118">
        <v>981</v>
      </c>
      <c r="B529" s="85" t="s">
        <v>596</v>
      </c>
      <c r="C529" s="85">
        <v>2003</v>
      </c>
      <c r="D529" s="160" t="s">
        <v>601</v>
      </c>
      <c r="E529" s="158" t="s">
        <v>272</v>
      </c>
      <c r="F529" s="129" t="s">
        <v>1000</v>
      </c>
      <c r="G529" s="77">
        <f>N529/L529</f>
        <v>9935.8945054945052</v>
      </c>
      <c r="H529" s="77" t="s">
        <v>1305</v>
      </c>
      <c r="I529" s="92" t="s">
        <v>48</v>
      </c>
      <c r="J529" s="142"/>
      <c r="K529" s="143"/>
      <c r="L529" s="125" t="s">
        <v>914</v>
      </c>
      <c r="M529" s="125" t="s">
        <v>506</v>
      </c>
      <c r="N529" s="168">
        <f>353190*M529</f>
        <v>1808332.8</v>
      </c>
      <c r="O529" s="91">
        <v>41873</v>
      </c>
      <c r="P529" s="69"/>
      <c r="Q529" s="69"/>
      <c r="R529" s="69"/>
      <c r="S529" s="69"/>
      <c r="T529" s="69"/>
      <c r="U529" s="69"/>
      <c r="V529" s="69"/>
      <c r="W529" s="69"/>
    </row>
    <row r="530" spans="1:23" s="72" customFormat="1" ht="44.4" customHeight="1" x14ac:dyDescent="0.25">
      <c r="A530" s="118">
        <v>982</v>
      </c>
      <c r="B530" s="85" t="s">
        <v>1001</v>
      </c>
      <c r="C530" s="85">
        <v>2013</v>
      </c>
      <c r="D530" s="160" t="s">
        <v>140</v>
      </c>
      <c r="E530" s="158">
        <v>2014</v>
      </c>
      <c r="F530" s="160" t="s">
        <v>1002</v>
      </c>
      <c r="G530" s="77">
        <f>85862.66*M530/L530</f>
        <v>2415.4770285714289</v>
      </c>
      <c r="H530" s="77" t="s">
        <v>1003</v>
      </c>
      <c r="I530" s="92" t="s">
        <v>720</v>
      </c>
      <c r="J530" s="142">
        <v>448</v>
      </c>
      <c r="K530" s="143">
        <v>1361</v>
      </c>
      <c r="L530" s="125" t="s">
        <v>914</v>
      </c>
      <c r="M530" s="125" t="s">
        <v>506</v>
      </c>
      <c r="N530" s="168">
        <f>85862.66*M530</f>
        <v>439616.81920000003</v>
      </c>
      <c r="O530" s="91">
        <v>41877</v>
      </c>
      <c r="P530" s="69"/>
      <c r="Q530" s="69"/>
      <c r="R530" s="69"/>
      <c r="S530" s="69"/>
      <c r="T530" s="69"/>
      <c r="U530" s="69"/>
      <c r="V530" s="69"/>
      <c r="W530" s="69"/>
    </row>
    <row r="531" spans="1:23" s="72" customFormat="1" ht="114" customHeight="1" x14ac:dyDescent="0.25">
      <c r="A531" s="118"/>
      <c r="B531" s="85" t="s">
        <v>764</v>
      </c>
      <c r="C531" s="85">
        <v>2013</v>
      </c>
      <c r="D531" s="160" t="s">
        <v>1339</v>
      </c>
      <c r="E531" s="158" t="s">
        <v>272</v>
      </c>
      <c r="F531" s="160" t="s">
        <v>1004</v>
      </c>
      <c r="G531" s="77">
        <f>105600*M531/L531</f>
        <v>2962.0219780219782</v>
      </c>
      <c r="H531" s="77" t="s">
        <v>1005</v>
      </c>
      <c r="I531" s="92" t="s">
        <v>720</v>
      </c>
      <c r="J531" s="142"/>
      <c r="K531" s="143"/>
      <c r="L531" s="125" t="s">
        <v>914</v>
      </c>
      <c r="M531" s="125" t="s">
        <v>938</v>
      </c>
      <c r="N531" s="168">
        <f>105600*M531</f>
        <v>539088</v>
      </c>
      <c r="O531" s="91">
        <v>41877</v>
      </c>
      <c r="P531" s="69"/>
      <c r="Q531" s="69"/>
      <c r="R531" s="69"/>
      <c r="S531" s="69"/>
      <c r="T531" s="69"/>
      <c r="U531" s="69"/>
      <c r="V531" s="69"/>
      <c r="W531" s="69"/>
    </row>
    <row r="532" spans="1:23" ht="63.75" customHeight="1" x14ac:dyDescent="0.25">
      <c r="A532" s="118"/>
      <c r="B532" s="85" t="s">
        <v>179</v>
      </c>
      <c r="C532" s="85">
        <v>2002</v>
      </c>
      <c r="D532" s="160" t="s">
        <v>180</v>
      </c>
      <c r="E532" s="158" t="s">
        <v>301</v>
      </c>
      <c r="F532" s="93" t="s">
        <v>36</v>
      </c>
      <c r="G532" s="77">
        <f>1042.48*M532/L532</f>
        <v>1394.97570989011</v>
      </c>
      <c r="H532" s="77" t="s">
        <v>1006</v>
      </c>
      <c r="I532" s="92" t="s">
        <v>720</v>
      </c>
      <c r="J532" s="142">
        <v>449</v>
      </c>
      <c r="K532" s="143">
        <v>1362</v>
      </c>
      <c r="L532" s="125" t="s">
        <v>914</v>
      </c>
      <c r="M532" s="125" t="s">
        <v>1007</v>
      </c>
      <c r="N532" s="168">
        <f>1042.48*M532</f>
        <v>253885.57920000001</v>
      </c>
      <c r="O532" s="91">
        <v>41877</v>
      </c>
      <c r="P532" s="69"/>
      <c r="Q532" s="69"/>
      <c r="R532" s="69"/>
      <c r="S532" s="69"/>
      <c r="T532" s="69"/>
      <c r="U532" s="69"/>
      <c r="V532" s="69"/>
      <c r="W532" s="69"/>
    </row>
    <row r="533" spans="1:23" s="67" customFormat="1" ht="52.5" customHeight="1" x14ac:dyDescent="0.25">
      <c r="A533" s="118"/>
      <c r="B533" s="85" t="s">
        <v>1274</v>
      </c>
      <c r="C533" s="85">
        <v>2003</v>
      </c>
      <c r="D533" s="160" t="s">
        <v>46</v>
      </c>
      <c r="E533" s="158">
        <v>2014</v>
      </c>
      <c r="F533" s="160" t="s">
        <v>156</v>
      </c>
      <c r="G533" s="77">
        <v>7992</v>
      </c>
      <c r="H533" s="77" t="s">
        <v>1168</v>
      </c>
      <c r="I533" s="92" t="s">
        <v>41</v>
      </c>
      <c r="J533" s="142">
        <v>450</v>
      </c>
      <c r="K533" s="143">
        <v>1363</v>
      </c>
      <c r="L533" s="125" t="s">
        <v>914</v>
      </c>
      <c r="M533" s="125"/>
      <c r="N533" s="168">
        <f>G533*L533</f>
        <v>1454544</v>
      </c>
      <c r="O533" s="91">
        <v>41910</v>
      </c>
      <c r="P533" s="69"/>
      <c r="Q533" s="69"/>
      <c r="R533" s="69"/>
      <c r="S533" s="69"/>
      <c r="T533" s="69"/>
      <c r="U533" s="69"/>
      <c r="V533" s="69"/>
      <c r="W533" s="69"/>
    </row>
    <row r="534" spans="1:23" s="67" customFormat="1" ht="63.75" customHeight="1" x14ac:dyDescent="0.25">
      <c r="A534" s="118">
        <v>983</v>
      </c>
      <c r="B534" s="85" t="s">
        <v>1008</v>
      </c>
      <c r="C534" s="85">
        <v>2006</v>
      </c>
      <c r="D534" s="160" t="s">
        <v>1017</v>
      </c>
      <c r="E534" s="158">
        <v>2014</v>
      </c>
      <c r="F534" s="160" t="s">
        <v>1009</v>
      </c>
      <c r="G534" s="77">
        <f>N534/L534</f>
        <v>2288.8078571428573</v>
      </c>
      <c r="H534" s="77" t="s">
        <v>1309</v>
      </c>
      <c r="I534" s="92" t="s">
        <v>720</v>
      </c>
      <c r="J534" s="142">
        <v>451</v>
      </c>
      <c r="K534" s="143">
        <v>1364</v>
      </c>
      <c r="L534" s="125" t="s">
        <v>914</v>
      </c>
      <c r="M534" s="125" t="s">
        <v>1010</v>
      </c>
      <c r="N534" s="168">
        <f>84324.5*M534</f>
        <v>416563.03</v>
      </c>
      <c r="O534" s="91">
        <v>41884</v>
      </c>
      <c r="P534" s="69"/>
      <c r="Q534" s="69"/>
      <c r="R534" s="69"/>
      <c r="S534" s="69"/>
      <c r="T534" s="69"/>
      <c r="U534" s="69"/>
      <c r="V534" s="69"/>
      <c r="W534" s="69"/>
    </row>
    <row r="535" spans="1:23" s="72" customFormat="1" ht="54" customHeight="1" x14ac:dyDescent="0.25">
      <c r="A535" s="118">
        <v>984</v>
      </c>
      <c r="B535" s="85" t="s">
        <v>1011</v>
      </c>
      <c r="C535" s="85">
        <v>2007</v>
      </c>
      <c r="D535" s="160" t="s">
        <v>46</v>
      </c>
      <c r="E535" s="158">
        <v>2014</v>
      </c>
      <c r="F535" s="160" t="s">
        <v>729</v>
      </c>
      <c r="G535" s="77">
        <f>30000*M535/L535</f>
        <v>814.28571428571433</v>
      </c>
      <c r="H535" s="77" t="s">
        <v>1015</v>
      </c>
      <c r="I535" s="92" t="s">
        <v>720</v>
      </c>
      <c r="J535" s="142">
        <v>452</v>
      </c>
      <c r="K535" s="143">
        <v>1365</v>
      </c>
      <c r="L535" s="125" t="s">
        <v>914</v>
      </c>
      <c r="M535" s="125" t="s">
        <v>1010</v>
      </c>
      <c r="N535" s="168">
        <f>30000*M535</f>
        <v>148200</v>
      </c>
      <c r="O535" s="91">
        <v>41884</v>
      </c>
      <c r="P535" s="69"/>
      <c r="Q535" s="69"/>
      <c r="R535" s="69"/>
      <c r="S535" s="69"/>
      <c r="T535" s="69"/>
      <c r="U535" s="69"/>
      <c r="V535" s="69"/>
      <c r="W535" s="69"/>
    </row>
    <row r="536" spans="1:23" s="72" customFormat="1" ht="33.6" customHeight="1" x14ac:dyDescent="0.25">
      <c r="A536" s="118">
        <v>985</v>
      </c>
      <c r="B536" s="85" t="s">
        <v>1012</v>
      </c>
      <c r="C536" s="85">
        <v>2010</v>
      </c>
      <c r="D536" s="160" t="s">
        <v>46</v>
      </c>
      <c r="E536" s="158">
        <v>2014</v>
      </c>
      <c r="F536" s="160" t="s">
        <v>328</v>
      </c>
      <c r="G536" s="77">
        <f>234800*M536/L536</f>
        <v>6383.4637362637368</v>
      </c>
      <c r="H536" s="77" t="s">
        <v>1013</v>
      </c>
      <c r="I536" s="92" t="s">
        <v>720</v>
      </c>
      <c r="J536" s="142">
        <v>453</v>
      </c>
      <c r="K536" s="143">
        <v>1366</v>
      </c>
      <c r="L536" s="125" t="s">
        <v>914</v>
      </c>
      <c r="M536" s="125" t="s">
        <v>1014</v>
      </c>
      <c r="N536" s="168">
        <f>234800*M536</f>
        <v>1161790.4000000001</v>
      </c>
      <c r="O536" s="91">
        <v>41893</v>
      </c>
      <c r="P536" s="69"/>
      <c r="Q536" s="69"/>
      <c r="R536" s="69"/>
      <c r="S536" s="69"/>
      <c r="T536" s="69"/>
      <c r="U536" s="69"/>
      <c r="V536" s="69"/>
      <c r="W536" s="69"/>
    </row>
    <row r="537" spans="1:23" s="72" customFormat="1" ht="34.950000000000003" customHeight="1" x14ac:dyDescent="0.25">
      <c r="A537" s="118">
        <v>986</v>
      </c>
      <c r="B537" s="85" t="s">
        <v>1016</v>
      </c>
      <c r="C537" s="85">
        <v>1999</v>
      </c>
      <c r="D537" s="160" t="s">
        <v>141</v>
      </c>
      <c r="E537" s="158">
        <v>2014</v>
      </c>
      <c r="F537" s="120" t="s">
        <v>423</v>
      </c>
      <c r="G537" s="77">
        <v>8000</v>
      </c>
      <c r="H537" s="77" t="s">
        <v>843</v>
      </c>
      <c r="I537" s="92" t="s">
        <v>720</v>
      </c>
      <c r="J537" s="142">
        <v>454</v>
      </c>
      <c r="K537" s="143">
        <v>1367</v>
      </c>
      <c r="L537" s="125" t="s">
        <v>687</v>
      </c>
      <c r="M537" s="125"/>
      <c r="N537" s="168">
        <f>G537*L537</f>
        <v>1462000</v>
      </c>
      <c r="O537" s="91">
        <v>41898</v>
      </c>
      <c r="P537" s="69"/>
      <c r="Q537" s="69"/>
      <c r="R537" s="69"/>
      <c r="S537" s="69"/>
      <c r="T537" s="69"/>
      <c r="U537" s="69"/>
      <c r="V537" s="69"/>
      <c r="W537" s="69"/>
    </row>
    <row r="538" spans="1:23" s="72" customFormat="1" ht="47.4" customHeight="1" x14ac:dyDescent="0.25">
      <c r="A538" s="118"/>
      <c r="B538" s="85" t="s">
        <v>21</v>
      </c>
      <c r="C538" s="85">
        <v>2010</v>
      </c>
      <c r="D538" s="158" t="s">
        <v>22</v>
      </c>
      <c r="E538" s="158" t="s">
        <v>272</v>
      </c>
      <c r="F538" s="160" t="s">
        <v>348</v>
      </c>
      <c r="G538" s="77">
        <f>N538/L538</f>
        <v>1406.4699642759001</v>
      </c>
      <c r="H538" s="77" t="s">
        <v>1018</v>
      </c>
      <c r="I538" s="92" t="s">
        <v>720</v>
      </c>
      <c r="J538" s="142"/>
      <c r="K538" s="143"/>
      <c r="L538" s="125" t="s">
        <v>1019</v>
      </c>
      <c r="M538" s="125" t="s">
        <v>1020</v>
      </c>
      <c r="N538" s="168">
        <f>53170*M538</f>
        <v>255907.21</v>
      </c>
      <c r="O538" s="91">
        <v>41899</v>
      </c>
      <c r="P538" s="69"/>
      <c r="Q538" s="69"/>
      <c r="R538" s="69"/>
      <c r="S538" s="69"/>
      <c r="T538" s="69"/>
      <c r="U538" s="69"/>
      <c r="V538" s="69"/>
      <c r="W538" s="69"/>
    </row>
    <row r="539" spans="1:23" ht="36.6" customHeight="1" x14ac:dyDescent="0.25">
      <c r="A539" s="118">
        <v>987</v>
      </c>
      <c r="B539" s="85" t="s">
        <v>1021</v>
      </c>
      <c r="C539" s="85">
        <v>2007</v>
      </c>
      <c r="D539" s="160" t="s">
        <v>1022</v>
      </c>
      <c r="E539" s="158">
        <v>2014</v>
      </c>
      <c r="F539" s="160" t="s">
        <v>240</v>
      </c>
      <c r="G539" s="77">
        <v>11254</v>
      </c>
      <c r="H539" s="77" t="s">
        <v>1227</v>
      </c>
      <c r="I539" s="92" t="s">
        <v>720</v>
      </c>
      <c r="J539" s="142">
        <v>455</v>
      </c>
      <c r="K539" s="143">
        <v>1368</v>
      </c>
      <c r="L539" s="125" t="s">
        <v>687</v>
      </c>
      <c r="M539" s="125"/>
      <c r="N539" s="168">
        <f>G539*L539</f>
        <v>2056668.5</v>
      </c>
      <c r="O539" s="91">
        <v>41899</v>
      </c>
      <c r="P539" s="69"/>
      <c r="Q539" s="69"/>
      <c r="R539" s="69"/>
      <c r="S539" s="69"/>
      <c r="T539" s="69"/>
      <c r="U539" s="69"/>
      <c r="V539" s="69"/>
      <c r="W539" s="69"/>
    </row>
    <row r="540" spans="1:23" s="72" customFormat="1" ht="42" customHeight="1" x14ac:dyDescent="0.25">
      <c r="A540" s="118"/>
      <c r="B540" s="85" t="s">
        <v>1016</v>
      </c>
      <c r="C540" s="85">
        <v>1999</v>
      </c>
      <c r="D540" s="160" t="s">
        <v>141</v>
      </c>
      <c r="E540" s="158" t="s">
        <v>1023</v>
      </c>
      <c r="F540" s="120" t="s">
        <v>423</v>
      </c>
      <c r="G540" s="77">
        <v>2300</v>
      </c>
      <c r="H540" s="77" t="s">
        <v>1193</v>
      </c>
      <c r="I540" s="92" t="s">
        <v>720</v>
      </c>
      <c r="J540" s="142"/>
      <c r="K540" s="143"/>
      <c r="L540" s="125" t="s">
        <v>687</v>
      </c>
      <c r="M540" s="125"/>
      <c r="N540" s="168">
        <f>G540*L540</f>
        <v>420325</v>
      </c>
      <c r="O540" s="91">
        <v>41899</v>
      </c>
      <c r="P540" s="69"/>
      <c r="Q540" s="69"/>
      <c r="R540" s="69"/>
      <c r="S540" s="69"/>
      <c r="T540" s="69"/>
      <c r="U540" s="69"/>
      <c r="V540" s="69"/>
      <c r="W540" s="69"/>
    </row>
    <row r="541" spans="1:23" ht="23.25" customHeight="1" x14ac:dyDescent="0.25">
      <c r="A541" s="220">
        <v>988</v>
      </c>
      <c r="B541" s="220" t="s">
        <v>1024</v>
      </c>
      <c r="C541" s="191">
        <v>2004</v>
      </c>
      <c r="D541" s="191" t="s">
        <v>1025</v>
      </c>
      <c r="E541" s="191">
        <v>2014</v>
      </c>
      <c r="F541" s="191" t="s">
        <v>423</v>
      </c>
      <c r="G541" s="77">
        <v>8850</v>
      </c>
      <c r="H541" s="77" t="s">
        <v>1251</v>
      </c>
      <c r="I541" s="196" t="s">
        <v>720</v>
      </c>
      <c r="J541" s="199">
        <v>456</v>
      </c>
      <c r="K541" s="187">
        <v>1369</v>
      </c>
      <c r="L541" s="125" t="s">
        <v>687</v>
      </c>
      <c r="M541" s="125"/>
      <c r="N541" s="168">
        <f>G541*L541</f>
        <v>1617337.5</v>
      </c>
      <c r="O541" s="91">
        <v>41899</v>
      </c>
      <c r="P541" s="69"/>
      <c r="Q541" s="69"/>
      <c r="R541" s="69"/>
      <c r="S541" s="69"/>
      <c r="T541" s="69"/>
      <c r="U541" s="69"/>
      <c r="V541" s="69"/>
      <c r="W541" s="69"/>
    </row>
    <row r="542" spans="1:23" ht="23.25" customHeight="1" x14ac:dyDescent="0.25">
      <c r="A542" s="221"/>
      <c r="B542" s="221"/>
      <c r="C542" s="193"/>
      <c r="D542" s="195"/>
      <c r="E542" s="193"/>
      <c r="F542" s="218"/>
      <c r="G542" s="77">
        <v>8850</v>
      </c>
      <c r="H542" s="77" t="s">
        <v>1251</v>
      </c>
      <c r="I542" s="197"/>
      <c r="J542" s="201"/>
      <c r="K542" s="189"/>
      <c r="L542" s="125" t="s">
        <v>687</v>
      </c>
      <c r="M542" s="125"/>
      <c r="N542" s="168">
        <f>G542*L542</f>
        <v>1617337.5</v>
      </c>
      <c r="O542" s="91">
        <v>41904</v>
      </c>
      <c r="P542" s="69"/>
      <c r="Q542" s="69"/>
      <c r="R542" s="69"/>
      <c r="S542" s="69"/>
      <c r="T542" s="69"/>
      <c r="U542" s="69"/>
      <c r="V542" s="69"/>
      <c r="W542" s="69"/>
    </row>
    <row r="543" spans="1:23" s="72" customFormat="1" ht="57.6" customHeight="1" x14ac:dyDescent="0.25">
      <c r="A543" s="118"/>
      <c r="B543" s="85" t="s">
        <v>30</v>
      </c>
      <c r="C543" s="85">
        <v>2005</v>
      </c>
      <c r="D543" s="120" t="s">
        <v>31</v>
      </c>
      <c r="E543" s="158" t="s">
        <v>272</v>
      </c>
      <c r="F543" s="160" t="s">
        <v>202</v>
      </c>
      <c r="G543" s="77">
        <f>83050*M543/L543</f>
        <v>2188.1929101401483</v>
      </c>
      <c r="H543" s="77" t="s">
        <v>1026</v>
      </c>
      <c r="I543" s="92" t="s">
        <v>720</v>
      </c>
      <c r="J543" s="142"/>
      <c r="K543" s="143"/>
      <c r="L543" s="125" t="s">
        <v>1019</v>
      </c>
      <c r="M543" s="125" t="s">
        <v>1027</v>
      </c>
      <c r="N543" s="168">
        <f>83050*M543</f>
        <v>398141.69999999995</v>
      </c>
      <c r="O543" s="91">
        <v>41900</v>
      </c>
      <c r="P543" s="69"/>
      <c r="Q543" s="69"/>
      <c r="R543" s="69"/>
      <c r="S543" s="69"/>
      <c r="T543" s="69"/>
      <c r="U543" s="69"/>
      <c r="V543" s="69"/>
      <c r="W543" s="69"/>
    </row>
    <row r="544" spans="1:23" s="67" customFormat="1" ht="31.5" customHeight="1" x14ac:dyDescent="0.25">
      <c r="A544" s="118"/>
      <c r="B544" s="85" t="s">
        <v>1162</v>
      </c>
      <c r="C544" s="85">
        <v>2013</v>
      </c>
      <c r="D544" s="167" t="s">
        <v>1321</v>
      </c>
      <c r="E544" s="158">
        <v>2014</v>
      </c>
      <c r="F544" s="166" t="s">
        <v>423</v>
      </c>
      <c r="G544" s="115">
        <v>1200</v>
      </c>
      <c r="H544" s="146" t="s">
        <v>1194</v>
      </c>
      <c r="I544" s="141" t="s">
        <v>720</v>
      </c>
      <c r="J544" s="142">
        <v>457</v>
      </c>
      <c r="K544" s="143">
        <v>1370</v>
      </c>
      <c r="L544" s="147" t="s">
        <v>817</v>
      </c>
      <c r="M544" s="147"/>
      <c r="N544" s="170">
        <f>G544*L544</f>
        <v>221280</v>
      </c>
      <c r="O544" s="148">
        <v>41910</v>
      </c>
      <c r="P544" s="69"/>
      <c r="Q544" s="69"/>
      <c r="R544" s="69"/>
      <c r="S544" s="69"/>
      <c r="T544" s="69"/>
      <c r="U544" s="69"/>
      <c r="V544" s="69"/>
      <c r="W544" s="69"/>
    </row>
    <row r="545" spans="1:23" s="72" customFormat="1" ht="88.2" customHeight="1" x14ac:dyDescent="0.25">
      <c r="A545" s="118"/>
      <c r="B545" s="85" t="s">
        <v>1029</v>
      </c>
      <c r="C545" s="85">
        <v>1999</v>
      </c>
      <c r="D545" s="160" t="s">
        <v>1030</v>
      </c>
      <c r="E545" s="158" t="s">
        <v>436</v>
      </c>
      <c r="F545" s="129" t="s">
        <v>65</v>
      </c>
      <c r="G545" s="77">
        <f>N545/L545</f>
        <v>3488.1935129191866</v>
      </c>
      <c r="H545" s="77" t="s">
        <v>1031</v>
      </c>
      <c r="I545" s="92" t="s">
        <v>720</v>
      </c>
      <c r="J545" s="142">
        <v>458</v>
      </c>
      <c r="K545" s="143">
        <v>1371</v>
      </c>
      <c r="L545" s="125" t="s">
        <v>1032</v>
      </c>
      <c r="M545" s="125" t="s">
        <v>1033</v>
      </c>
      <c r="N545" s="168">
        <f>134400*M545</f>
        <v>634502.40000000002</v>
      </c>
      <c r="O545" s="91">
        <v>41911</v>
      </c>
      <c r="P545" s="69"/>
      <c r="Q545" s="69"/>
      <c r="R545" s="69"/>
      <c r="S545" s="69"/>
      <c r="T545" s="69"/>
      <c r="U545" s="69"/>
      <c r="V545" s="69"/>
      <c r="W545" s="69"/>
    </row>
    <row r="546" spans="1:23" ht="25.5" customHeight="1" x14ac:dyDescent="0.25">
      <c r="A546" s="220"/>
      <c r="B546" s="220" t="s">
        <v>823</v>
      </c>
      <c r="C546" s="220">
        <v>2005</v>
      </c>
      <c r="D546" s="191" t="s">
        <v>824</v>
      </c>
      <c r="E546" s="191" t="s">
        <v>272</v>
      </c>
      <c r="F546" s="191" t="s">
        <v>240</v>
      </c>
      <c r="G546" s="77">
        <v>9000</v>
      </c>
      <c r="H546" s="77" t="s">
        <v>102</v>
      </c>
      <c r="I546" s="196" t="s">
        <v>720</v>
      </c>
      <c r="J546" s="199"/>
      <c r="K546" s="187"/>
      <c r="L546" s="171" t="s">
        <v>1034</v>
      </c>
      <c r="M546" s="173"/>
      <c r="N546" s="168">
        <f>G546*L546</f>
        <v>1645200</v>
      </c>
      <c r="O546" s="91">
        <v>41911</v>
      </c>
      <c r="P546" s="69"/>
      <c r="Q546" s="69"/>
      <c r="R546" s="69"/>
      <c r="S546" s="69"/>
      <c r="T546" s="69"/>
      <c r="U546" s="69"/>
      <c r="V546" s="69"/>
      <c r="W546" s="69"/>
    </row>
    <row r="547" spans="1:23" ht="21" customHeight="1" x14ac:dyDescent="0.25">
      <c r="A547" s="228"/>
      <c r="B547" s="228"/>
      <c r="C547" s="228"/>
      <c r="D547" s="194"/>
      <c r="E547" s="192"/>
      <c r="F547" s="192"/>
      <c r="G547" s="77">
        <v>6000</v>
      </c>
      <c r="H547" s="77" t="s">
        <v>360</v>
      </c>
      <c r="I547" s="198"/>
      <c r="J547" s="201"/>
      <c r="K547" s="189"/>
      <c r="L547" s="230"/>
      <c r="M547" s="180"/>
      <c r="N547" s="168">
        <f>G547*L546</f>
        <v>1096800</v>
      </c>
      <c r="O547" s="91">
        <v>41912</v>
      </c>
      <c r="P547" s="69"/>
      <c r="Q547" s="69"/>
      <c r="R547" s="69"/>
      <c r="S547" s="69"/>
      <c r="T547" s="69"/>
      <c r="U547" s="69"/>
      <c r="V547" s="69"/>
      <c r="W547" s="69"/>
    </row>
    <row r="548" spans="1:23" ht="27" customHeight="1" x14ac:dyDescent="0.25">
      <c r="A548" s="224"/>
      <c r="B548" s="224"/>
      <c r="C548" s="224"/>
      <c r="D548" s="218"/>
      <c r="E548" s="218"/>
      <c r="F548" s="218"/>
      <c r="G548" s="77">
        <v>8980.9500000000007</v>
      </c>
      <c r="H548" s="77" t="s">
        <v>1221</v>
      </c>
      <c r="I548" s="214"/>
      <c r="J548" s="149"/>
      <c r="K548" s="150"/>
      <c r="L548" s="151" t="s">
        <v>1034</v>
      </c>
      <c r="M548" s="152"/>
      <c r="N548" s="168">
        <f>G548*L548</f>
        <v>1641717.6600000001</v>
      </c>
      <c r="O548" s="91">
        <v>41912</v>
      </c>
      <c r="P548" s="69"/>
      <c r="Q548" s="69"/>
      <c r="R548" s="69"/>
      <c r="S548" s="69"/>
      <c r="T548" s="69"/>
      <c r="U548" s="69"/>
      <c r="V548" s="69"/>
      <c r="W548" s="69"/>
    </row>
    <row r="549" spans="1:23" ht="33.75" customHeight="1" x14ac:dyDescent="0.25">
      <c r="A549" s="220">
        <v>989</v>
      </c>
      <c r="B549" s="220" t="s">
        <v>1035</v>
      </c>
      <c r="C549" s="191">
        <v>2011</v>
      </c>
      <c r="D549" s="222" t="s">
        <v>1036</v>
      </c>
      <c r="E549" s="191">
        <v>2014</v>
      </c>
      <c r="F549" s="191" t="s">
        <v>240</v>
      </c>
      <c r="G549" s="77">
        <v>9000</v>
      </c>
      <c r="H549" s="77" t="s">
        <v>102</v>
      </c>
      <c r="I549" s="196" t="s">
        <v>1187</v>
      </c>
      <c r="J549" s="199">
        <v>459</v>
      </c>
      <c r="K549" s="187">
        <v>1372</v>
      </c>
      <c r="L549" s="171" t="s">
        <v>1034</v>
      </c>
      <c r="M549" s="173"/>
      <c r="N549" s="168">
        <f>G549*L549</f>
        <v>1645200</v>
      </c>
      <c r="O549" s="91">
        <v>41911</v>
      </c>
      <c r="P549" s="69"/>
      <c r="Q549" s="69"/>
      <c r="R549" s="69"/>
      <c r="S549" s="69"/>
      <c r="T549" s="69"/>
      <c r="U549" s="69"/>
      <c r="V549" s="69"/>
      <c r="W549" s="69"/>
    </row>
    <row r="550" spans="1:23" s="67" customFormat="1" ht="34.200000000000003" customHeight="1" x14ac:dyDescent="0.25">
      <c r="A550" s="221"/>
      <c r="B550" s="221"/>
      <c r="C550" s="193"/>
      <c r="D550" s="222"/>
      <c r="E550" s="193"/>
      <c r="F550" s="193"/>
      <c r="G550" s="77">
        <v>5686.42</v>
      </c>
      <c r="H550" s="77" t="s">
        <v>1223</v>
      </c>
      <c r="I550" s="197"/>
      <c r="J550" s="201"/>
      <c r="K550" s="189"/>
      <c r="L550" s="213"/>
      <c r="M550" s="180"/>
      <c r="N550" s="168">
        <f>G550*L549</f>
        <v>1039477.5760000001</v>
      </c>
      <c r="O550" s="91">
        <v>41912</v>
      </c>
      <c r="P550" s="69"/>
      <c r="Q550" s="69"/>
      <c r="R550" s="69"/>
      <c r="S550" s="69"/>
      <c r="T550" s="69"/>
      <c r="U550" s="69"/>
      <c r="V550" s="69"/>
      <c r="W550" s="69"/>
    </row>
    <row r="551" spans="1:23" s="72" customFormat="1" ht="130.19999999999999" customHeight="1" x14ac:dyDescent="0.25">
      <c r="A551" s="118"/>
      <c r="B551" s="85" t="s">
        <v>118</v>
      </c>
      <c r="C551" s="85">
        <v>2008</v>
      </c>
      <c r="D551" s="93" t="s">
        <v>119</v>
      </c>
      <c r="E551" s="158" t="s">
        <v>301</v>
      </c>
      <c r="F551" s="160" t="s">
        <v>201</v>
      </c>
      <c r="G551" s="77">
        <f>N551/L551</f>
        <v>2453.3059868059372</v>
      </c>
      <c r="H551" s="77" t="s">
        <v>1300</v>
      </c>
      <c r="I551" s="92" t="s">
        <v>720</v>
      </c>
      <c r="J551" s="142">
        <v>460</v>
      </c>
      <c r="K551" s="143">
        <v>1373</v>
      </c>
      <c r="L551" s="153" t="s">
        <v>1032</v>
      </c>
      <c r="M551" s="125" t="s">
        <v>847</v>
      </c>
      <c r="N551" s="168">
        <f>84247*M551</f>
        <v>446256.359</v>
      </c>
      <c r="O551" s="91">
        <v>41914</v>
      </c>
      <c r="P551" s="69"/>
      <c r="Q551" s="69"/>
      <c r="R551" s="69"/>
      <c r="S551" s="69"/>
      <c r="T551" s="69"/>
      <c r="U551" s="69"/>
      <c r="V551" s="69"/>
      <c r="W551" s="69"/>
    </row>
    <row r="552" spans="1:23" s="72" customFormat="1" ht="50.25" customHeight="1" x14ac:dyDescent="0.25">
      <c r="A552" s="118"/>
      <c r="B552" s="85" t="s">
        <v>866</v>
      </c>
      <c r="C552" s="85">
        <v>2007</v>
      </c>
      <c r="D552" s="158" t="s">
        <v>867</v>
      </c>
      <c r="E552" s="158" t="s">
        <v>272</v>
      </c>
      <c r="F552" s="158" t="s">
        <v>868</v>
      </c>
      <c r="G552" s="77">
        <f>N552/L552</f>
        <v>822.02742308960967</v>
      </c>
      <c r="H552" s="77" t="s">
        <v>1037</v>
      </c>
      <c r="I552" s="92" t="s">
        <v>720</v>
      </c>
      <c r="J552" s="142"/>
      <c r="K552" s="143"/>
      <c r="L552" s="153" t="s">
        <v>1032</v>
      </c>
      <c r="M552" s="125" t="s">
        <v>847</v>
      </c>
      <c r="N552" s="168">
        <f>28228.58*M552</f>
        <v>149526.78826</v>
      </c>
      <c r="O552" s="91">
        <v>41915</v>
      </c>
      <c r="P552" s="69"/>
      <c r="Q552" s="69"/>
      <c r="R552" s="69"/>
      <c r="S552" s="69"/>
      <c r="T552" s="69"/>
      <c r="U552" s="69"/>
      <c r="V552" s="69"/>
      <c r="W552" s="69"/>
    </row>
    <row r="553" spans="1:23" s="72" customFormat="1" ht="42" customHeight="1" x14ac:dyDescent="0.25">
      <c r="A553" s="118"/>
      <c r="B553" s="85" t="s">
        <v>907</v>
      </c>
      <c r="C553" s="85">
        <v>2014</v>
      </c>
      <c r="D553" s="160" t="s">
        <v>908</v>
      </c>
      <c r="E553" s="158" t="s">
        <v>272</v>
      </c>
      <c r="F553" s="158" t="s">
        <v>868</v>
      </c>
      <c r="G553" s="77">
        <f>N553/L553</f>
        <v>1725.0922484881801</v>
      </c>
      <c r="H553" s="77" t="s">
        <v>1038</v>
      </c>
      <c r="I553" s="92" t="s">
        <v>720</v>
      </c>
      <c r="J553" s="142"/>
      <c r="K553" s="143"/>
      <c r="L553" s="153" t="s">
        <v>1032</v>
      </c>
      <c r="M553" s="125" t="s">
        <v>847</v>
      </c>
      <c r="N553" s="168">
        <f>59240*M553</f>
        <v>313794.27999999997</v>
      </c>
      <c r="O553" s="91">
        <v>41918</v>
      </c>
      <c r="P553" s="69"/>
      <c r="Q553" s="69"/>
      <c r="R553" s="69"/>
      <c r="S553" s="69"/>
      <c r="T553" s="69"/>
      <c r="U553" s="69"/>
      <c r="V553" s="69"/>
      <c r="W553" s="69"/>
    </row>
    <row r="554" spans="1:23" ht="51" customHeight="1" x14ac:dyDescent="0.25">
      <c r="A554" s="118"/>
      <c r="B554" s="85" t="s">
        <v>811</v>
      </c>
      <c r="C554" s="85">
        <v>1997</v>
      </c>
      <c r="D554" s="158" t="s">
        <v>155</v>
      </c>
      <c r="E554" s="158" t="s">
        <v>272</v>
      </c>
      <c r="F554" s="160" t="s">
        <v>240</v>
      </c>
      <c r="G554" s="77">
        <v>5500</v>
      </c>
      <c r="H554" s="77" t="s">
        <v>1028</v>
      </c>
      <c r="I554" s="92" t="s">
        <v>720</v>
      </c>
      <c r="J554" s="142"/>
      <c r="K554" s="143"/>
      <c r="L554" s="153" t="s">
        <v>552</v>
      </c>
      <c r="M554" s="125"/>
      <c r="N554" s="168">
        <f>G554*L554</f>
        <v>1004575</v>
      </c>
      <c r="O554" s="91">
        <v>41918</v>
      </c>
      <c r="P554" s="69"/>
      <c r="Q554" s="69"/>
      <c r="R554" s="69"/>
      <c r="S554" s="69"/>
      <c r="T554" s="69"/>
      <c r="U554" s="69"/>
      <c r="V554" s="69"/>
      <c r="W554" s="69"/>
    </row>
    <row r="555" spans="1:23" s="67" customFormat="1" ht="36.75" customHeight="1" x14ac:dyDescent="0.25">
      <c r="A555" s="220">
        <v>990</v>
      </c>
      <c r="B555" s="191" t="s">
        <v>1039</v>
      </c>
      <c r="C555" s="191">
        <v>1996</v>
      </c>
      <c r="D555" s="191" t="s">
        <v>1040</v>
      </c>
      <c r="E555" s="191">
        <v>2014</v>
      </c>
      <c r="F555" s="191" t="s">
        <v>1041</v>
      </c>
      <c r="G555" s="77">
        <v>9000</v>
      </c>
      <c r="H555" s="77" t="s">
        <v>102</v>
      </c>
      <c r="I555" s="196" t="s">
        <v>1187</v>
      </c>
      <c r="J555" s="199">
        <v>461</v>
      </c>
      <c r="K555" s="187">
        <v>1374</v>
      </c>
      <c r="L555" s="153" t="s">
        <v>552</v>
      </c>
      <c r="M555" s="125"/>
      <c r="N555" s="168">
        <f>G555*L555</f>
        <v>1643850</v>
      </c>
      <c r="O555" s="91">
        <v>41921</v>
      </c>
      <c r="P555" s="69"/>
      <c r="Q555" s="69"/>
      <c r="R555" s="69"/>
      <c r="S555" s="69"/>
      <c r="T555" s="69"/>
      <c r="U555" s="69"/>
      <c r="V555" s="69"/>
      <c r="W555" s="69"/>
    </row>
    <row r="556" spans="1:23" ht="42" customHeight="1" x14ac:dyDescent="0.25">
      <c r="A556" s="221"/>
      <c r="B556" s="193"/>
      <c r="C556" s="193"/>
      <c r="D556" s="218"/>
      <c r="E556" s="193"/>
      <c r="F556" s="218"/>
      <c r="G556" s="77">
        <v>1500</v>
      </c>
      <c r="H556" s="77" t="s">
        <v>279</v>
      </c>
      <c r="I556" s="197"/>
      <c r="J556" s="201"/>
      <c r="K556" s="189"/>
      <c r="L556" s="153" t="s">
        <v>552</v>
      </c>
      <c r="M556" s="125"/>
      <c r="N556" s="168">
        <f>G556*L556</f>
        <v>273975</v>
      </c>
      <c r="O556" s="91">
        <v>41922</v>
      </c>
      <c r="P556" s="69"/>
      <c r="Q556" s="69"/>
      <c r="R556" s="69"/>
      <c r="S556" s="69"/>
      <c r="T556" s="69"/>
      <c r="U556" s="69"/>
      <c r="V556" s="69"/>
      <c r="W556" s="69"/>
    </row>
    <row r="557" spans="1:23" s="67" customFormat="1" ht="30" customHeight="1" x14ac:dyDescent="0.25">
      <c r="A557" s="118">
        <v>991</v>
      </c>
      <c r="B557" s="85" t="s">
        <v>1322</v>
      </c>
      <c r="C557" s="85">
        <v>2000</v>
      </c>
      <c r="D557" s="160" t="s">
        <v>1340</v>
      </c>
      <c r="E557" s="160">
        <v>2014</v>
      </c>
      <c r="F557" s="165" t="s">
        <v>423</v>
      </c>
      <c r="G557" s="77">
        <v>5300</v>
      </c>
      <c r="H557" s="77" t="s">
        <v>1195</v>
      </c>
      <c r="I557" s="141" t="s">
        <v>720</v>
      </c>
      <c r="J557" s="142">
        <v>462</v>
      </c>
      <c r="K557" s="143">
        <v>1375</v>
      </c>
      <c r="L557" s="153" t="s">
        <v>552</v>
      </c>
      <c r="M557" s="125"/>
      <c r="N557" s="168">
        <f>G557*L557</f>
        <v>968045</v>
      </c>
      <c r="O557" s="91">
        <v>41922</v>
      </c>
      <c r="P557" s="69"/>
      <c r="Q557" s="69"/>
      <c r="R557" s="69"/>
      <c r="S557" s="69"/>
      <c r="T557" s="69"/>
      <c r="U557" s="69"/>
      <c r="V557" s="69"/>
      <c r="W557" s="69"/>
    </row>
    <row r="558" spans="1:23" s="72" customFormat="1" ht="65.400000000000006" customHeight="1" x14ac:dyDescent="0.25">
      <c r="A558" s="118"/>
      <c r="B558" s="85" t="s">
        <v>138</v>
      </c>
      <c r="C558" s="85">
        <v>2005</v>
      </c>
      <c r="D558" s="94" t="s">
        <v>98</v>
      </c>
      <c r="E558" s="94" t="s">
        <v>1042</v>
      </c>
      <c r="F558" s="94" t="s">
        <v>94</v>
      </c>
      <c r="G558" s="77">
        <f>N558/L558</f>
        <v>2680.5500550055003</v>
      </c>
      <c r="H558" s="77" t="s">
        <v>1043</v>
      </c>
      <c r="I558" s="141" t="s">
        <v>720</v>
      </c>
      <c r="J558" s="142">
        <v>463</v>
      </c>
      <c r="K558" s="143">
        <v>1376</v>
      </c>
      <c r="L558" s="153" t="s">
        <v>1044</v>
      </c>
      <c r="M558" s="125" t="s">
        <v>847</v>
      </c>
      <c r="N558" s="168">
        <f>92000*M558</f>
        <v>487324</v>
      </c>
      <c r="O558" s="91">
        <v>41925</v>
      </c>
      <c r="P558" s="69"/>
      <c r="Q558" s="69"/>
      <c r="R558" s="69"/>
      <c r="S558" s="69"/>
      <c r="T558" s="69"/>
      <c r="U558" s="69"/>
      <c r="V558" s="69"/>
      <c r="W558" s="69"/>
    </row>
    <row r="559" spans="1:23" ht="24" customHeight="1" x14ac:dyDescent="0.25">
      <c r="A559" s="220"/>
      <c r="B559" s="191" t="s">
        <v>460</v>
      </c>
      <c r="C559" s="191">
        <v>1998</v>
      </c>
      <c r="D559" s="229" t="s">
        <v>461</v>
      </c>
      <c r="E559" s="229" t="s">
        <v>272</v>
      </c>
      <c r="F559" s="229" t="s">
        <v>240</v>
      </c>
      <c r="G559" s="77">
        <v>9000</v>
      </c>
      <c r="H559" s="77" t="s">
        <v>102</v>
      </c>
      <c r="I559" s="196" t="s">
        <v>41</v>
      </c>
      <c r="J559" s="199"/>
      <c r="K559" s="187"/>
      <c r="L559" s="153" t="s">
        <v>552</v>
      </c>
      <c r="M559" s="125"/>
      <c r="N559" s="168">
        <f t="shared" ref="N559:N567" si="7">G559*L559</f>
        <v>1643850</v>
      </c>
      <c r="O559" s="91">
        <v>41926</v>
      </c>
      <c r="P559" s="69"/>
      <c r="Q559" s="69"/>
      <c r="R559" s="69"/>
      <c r="S559" s="69"/>
      <c r="T559" s="69"/>
      <c r="U559" s="69"/>
      <c r="V559" s="69"/>
      <c r="W559" s="69"/>
    </row>
    <row r="560" spans="1:23" ht="24" customHeight="1" x14ac:dyDescent="0.25">
      <c r="A560" s="228"/>
      <c r="B560" s="192"/>
      <c r="C560" s="192"/>
      <c r="D560" s="192"/>
      <c r="E560" s="192"/>
      <c r="F560" s="192"/>
      <c r="G560" s="77">
        <v>9000</v>
      </c>
      <c r="H560" s="77" t="s">
        <v>102</v>
      </c>
      <c r="I560" s="198"/>
      <c r="J560" s="200"/>
      <c r="K560" s="188"/>
      <c r="L560" s="153" t="s">
        <v>1061</v>
      </c>
      <c r="M560" s="125"/>
      <c r="N560" s="168">
        <f t="shared" si="7"/>
        <v>1641150</v>
      </c>
      <c r="O560" s="91">
        <v>41927</v>
      </c>
      <c r="P560" s="69"/>
      <c r="Q560" s="69"/>
      <c r="R560" s="69"/>
      <c r="S560" s="69"/>
      <c r="T560" s="69"/>
      <c r="U560" s="69"/>
      <c r="V560" s="69"/>
      <c r="W560" s="69"/>
    </row>
    <row r="561" spans="1:23" ht="21.6" customHeight="1" x14ac:dyDescent="0.25">
      <c r="A561" s="223"/>
      <c r="B561" s="225"/>
      <c r="C561" s="225"/>
      <c r="D561" s="194"/>
      <c r="E561" s="194"/>
      <c r="F561" s="194"/>
      <c r="G561" s="77">
        <v>9000</v>
      </c>
      <c r="H561" s="77" t="s">
        <v>102</v>
      </c>
      <c r="I561" s="216"/>
      <c r="J561" s="217"/>
      <c r="K561" s="219"/>
      <c r="L561" s="153" t="s">
        <v>1082</v>
      </c>
      <c r="M561" s="125"/>
      <c r="N561" s="168">
        <f t="shared" si="7"/>
        <v>1642500</v>
      </c>
      <c r="O561" s="91">
        <v>41928</v>
      </c>
      <c r="P561" s="69"/>
      <c r="Q561" s="69"/>
      <c r="R561" s="69"/>
      <c r="S561" s="69"/>
      <c r="T561" s="69"/>
      <c r="U561" s="69"/>
      <c r="V561" s="69"/>
      <c r="W561" s="69"/>
    </row>
    <row r="562" spans="1:23" ht="26.4" customHeight="1" x14ac:dyDescent="0.25">
      <c r="A562" s="224"/>
      <c r="B562" s="226"/>
      <c r="C562" s="226"/>
      <c r="D562" s="218"/>
      <c r="E562" s="218"/>
      <c r="F562" s="218"/>
      <c r="G562" s="77">
        <v>3000</v>
      </c>
      <c r="H562" s="77" t="s">
        <v>227</v>
      </c>
      <c r="I562" s="214"/>
      <c r="J562" s="215"/>
      <c r="K562" s="190"/>
      <c r="L562" s="153" t="s">
        <v>1082</v>
      </c>
      <c r="M562" s="125"/>
      <c r="N562" s="168">
        <f t="shared" si="7"/>
        <v>547500</v>
      </c>
      <c r="O562" s="91">
        <v>41929</v>
      </c>
      <c r="P562" s="69"/>
      <c r="Q562" s="69"/>
      <c r="R562" s="69"/>
      <c r="S562" s="69"/>
      <c r="T562" s="69"/>
      <c r="U562" s="69"/>
      <c r="V562" s="69"/>
      <c r="W562" s="69"/>
    </row>
    <row r="563" spans="1:23" ht="42" customHeight="1" x14ac:dyDescent="0.25">
      <c r="A563" s="220"/>
      <c r="B563" s="191" t="s">
        <v>764</v>
      </c>
      <c r="C563" s="191">
        <v>2013</v>
      </c>
      <c r="D563" s="191" t="s">
        <v>1339</v>
      </c>
      <c r="E563" s="191" t="s">
        <v>272</v>
      </c>
      <c r="F563" s="191" t="s">
        <v>240</v>
      </c>
      <c r="G563" s="209">
        <v>7638</v>
      </c>
      <c r="H563" s="209" t="s">
        <v>1226</v>
      </c>
      <c r="I563" s="196" t="s">
        <v>41</v>
      </c>
      <c r="J563" s="199"/>
      <c r="K563" s="187"/>
      <c r="L563" s="171" t="s">
        <v>552</v>
      </c>
      <c r="M563" s="173"/>
      <c r="N563" s="175">
        <f t="shared" si="7"/>
        <v>1395080.7</v>
      </c>
      <c r="O563" s="177">
        <v>41926</v>
      </c>
      <c r="P563" s="69"/>
      <c r="Q563" s="69"/>
      <c r="R563" s="69"/>
      <c r="S563" s="69"/>
      <c r="T563" s="69"/>
      <c r="U563" s="69"/>
      <c r="V563" s="69"/>
      <c r="W563" s="69"/>
    </row>
    <row r="564" spans="1:23" ht="73.95" customHeight="1" x14ac:dyDescent="0.25">
      <c r="A564" s="224"/>
      <c r="B564" s="226"/>
      <c r="C564" s="226"/>
      <c r="D564" s="218"/>
      <c r="E564" s="218"/>
      <c r="F564" s="218"/>
      <c r="G564" s="172"/>
      <c r="H564" s="172"/>
      <c r="I564" s="214"/>
      <c r="J564" s="215"/>
      <c r="K564" s="190"/>
      <c r="L564" s="172"/>
      <c r="M564" s="174"/>
      <c r="N564" s="176"/>
      <c r="O564" s="172"/>
      <c r="P564" s="69"/>
      <c r="Q564" s="69"/>
      <c r="R564" s="69"/>
      <c r="S564" s="69"/>
      <c r="T564" s="69"/>
      <c r="U564" s="69"/>
      <c r="V564" s="69"/>
      <c r="W564" s="69"/>
    </row>
    <row r="565" spans="1:23" ht="25.2" customHeight="1" x14ac:dyDescent="0.25">
      <c r="A565" s="220">
        <v>992</v>
      </c>
      <c r="B565" s="191" t="s">
        <v>1045</v>
      </c>
      <c r="C565" s="191">
        <v>2010</v>
      </c>
      <c r="D565" s="227" t="s">
        <v>1046</v>
      </c>
      <c r="E565" s="191">
        <v>2014</v>
      </c>
      <c r="F565" s="191" t="s">
        <v>240</v>
      </c>
      <c r="G565" s="77">
        <v>9000</v>
      </c>
      <c r="H565" s="77" t="s">
        <v>102</v>
      </c>
      <c r="I565" s="196" t="s">
        <v>41</v>
      </c>
      <c r="J565" s="199">
        <v>464</v>
      </c>
      <c r="K565" s="187">
        <v>1377</v>
      </c>
      <c r="L565" s="153" t="s">
        <v>552</v>
      </c>
      <c r="M565" s="125"/>
      <c r="N565" s="168">
        <f t="shared" si="7"/>
        <v>1643850</v>
      </c>
      <c r="O565" s="91">
        <v>41926</v>
      </c>
      <c r="P565" s="69"/>
      <c r="Q565" s="69"/>
      <c r="R565" s="69"/>
      <c r="S565" s="69"/>
      <c r="T565" s="69"/>
      <c r="U565" s="69"/>
      <c r="V565" s="69"/>
      <c r="W565" s="69"/>
    </row>
    <row r="566" spans="1:23" ht="22.95" customHeight="1" x14ac:dyDescent="0.25">
      <c r="A566" s="228"/>
      <c r="B566" s="192"/>
      <c r="C566" s="192"/>
      <c r="D566" s="194"/>
      <c r="E566" s="192"/>
      <c r="F566" s="192"/>
      <c r="G566" s="77">
        <v>9000</v>
      </c>
      <c r="H566" s="77" t="s">
        <v>102</v>
      </c>
      <c r="I566" s="198"/>
      <c r="J566" s="200"/>
      <c r="K566" s="188"/>
      <c r="L566" s="153" t="s">
        <v>1061</v>
      </c>
      <c r="M566" s="125"/>
      <c r="N566" s="168">
        <f t="shared" si="7"/>
        <v>1641150</v>
      </c>
      <c r="O566" s="91">
        <v>41927</v>
      </c>
      <c r="P566" s="69"/>
      <c r="Q566" s="69"/>
      <c r="R566" s="69"/>
      <c r="S566" s="69"/>
      <c r="T566" s="69"/>
      <c r="U566" s="69"/>
      <c r="V566" s="69"/>
      <c r="W566" s="69"/>
    </row>
    <row r="567" spans="1:23" ht="17.399999999999999" customHeight="1" x14ac:dyDescent="0.25">
      <c r="A567" s="223"/>
      <c r="B567" s="225"/>
      <c r="C567" s="225"/>
      <c r="D567" s="194"/>
      <c r="E567" s="194"/>
      <c r="F567" s="194"/>
      <c r="G567" s="209">
        <v>3464</v>
      </c>
      <c r="H567" s="209" t="s">
        <v>1224</v>
      </c>
      <c r="I567" s="216"/>
      <c r="J567" s="217"/>
      <c r="K567" s="219"/>
      <c r="L567" s="171" t="s">
        <v>1082</v>
      </c>
      <c r="M567" s="173"/>
      <c r="N567" s="175">
        <f t="shared" si="7"/>
        <v>632180</v>
      </c>
      <c r="O567" s="177">
        <v>41928</v>
      </c>
      <c r="P567" s="69"/>
      <c r="Q567" s="69"/>
      <c r="R567" s="69"/>
      <c r="S567" s="69"/>
      <c r="T567" s="69"/>
      <c r="U567" s="69"/>
      <c r="V567" s="69"/>
      <c r="W567" s="69"/>
    </row>
    <row r="568" spans="1:23" ht="13.5" customHeight="1" x14ac:dyDescent="0.25">
      <c r="A568" s="224"/>
      <c r="B568" s="226"/>
      <c r="C568" s="226"/>
      <c r="D568" s="218"/>
      <c r="E568" s="218"/>
      <c r="F568" s="218"/>
      <c r="G568" s="172"/>
      <c r="H568" s="172"/>
      <c r="I568" s="214"/>
      <c r="J568" s="215"/>
      <c r="K568" s="190"/>
      <c r="L568" s="172"/>
      <c r="M568" s="174"/>
      <c r="N568" s="178"/>
      <c r="O568" s="172"/>
      <c r="P568" s="69"/>
      <c r="Q568" s="69"/>
      <c r="R568" s="69"/>
      <c r="S568" s="69"/>
      <c r="T568" s="69"/>
      <c r="U568" s="69"/>
      <c r="V568" s="69"/>
      <c r="W568" s="69"/>
    </row>
    <row r="569" spans="1:23" s="67" customFormat="1" ht="37.200000000000003" customHeight="1" x14ac:dyDescent="0.25">
      <c r="A569" s="118"/>
      <c r="B569" s="85" t="s">
        <v>229</v>
      </c>
      <c r="C569" s="85">
        <v>2011</v>
      </c>
      <c r="D569" s="160" t="s">
        <v>329</v>
      </c>
      <c r="E569" s="158" t="s">
        <v>272</v>
      </c>
      <c r="F569" s="160" t="s">
        <v>330</v>
      </c>
      <c r="G569" s="77">
        <f>N569/L569</f>
        <v>4483.9262486248617</v>
      </c>
      <c r="H569" s="77" t="s">
        <v>1301</v>
      </c>
      <c r="I569" s="141" t="s">
        <v>41</v>
      </c>
      <c r="J569" s="142"/>
      <c r="K569" s="143"/>
      <c r="L569" s="153" t="s">
        <v>1044</v>
      </c>
      <c r="M569" s="125" t="s">
        <v>1047</v>
      </c>
      <c r="N569" s="168">
        <f>178142*M569</f>
        <v>815177.7919999999</v>
      </c>
      <c r="O569" s="91">
        <v>41926</v>
      </c>
      <c r="P569" s="69"/>
      <c r="Q569" s="69"/>
      <c r="R569" s="69"/>
      <c r="S569" s="69"/>
      <c r="T569" s="69"/>
      <c r="U569" s="69"/>
      <c r="V569" s="69"/>
      <c r="W569" s="69"/>
    </row>
    <row r="570" spans="1:23" s="70" customFormat="1" ht="23.25" customHeight="1" x14ac:dyDescent="0.25">
      <c r="A570" s="220">
        <v>993</v>
      </c>
      <c r="B570" s="191" t="s">
        <v>1048</v>
      </c>
      <c r="C570" s="191">
        <v>2004</v>
      </c>
      <c r="D570" s="227" t="s">
        <v>1049</v>
      </c>
      <c r="E570" s="191">
        <v>2014</v>
      </c>
      <c r="F570" s="191" t="s">
        <v>240</v>
      </c>
      <c r="G570" s="209">
        <v>3977</v>
      </c>
      <c r="H570" s="209" t="s">
        <v>1225</v>
      </c>
      <c r="I570" s="196" t="s">
        <v>41</v>
      </c>
      <c r="J570" s="199">
        <v>465</v>
      </c>
      <c r="K570" s="187">
        <v>1378</v>
      </c>
      <c r="L570" s="171" t="s">
        <v>552</v>
      </c>
      <c r="M570" s="173"/>
      <c r="N570" s="175">
        <f>G570*L570</f>
        <v>726399.05</v>
      </c>
      <c r="O570" s="177">
        <v>41926</v>
      </c>
      <c r="P570" s="69"/>
      <c r="Q570" s="69"/>
      <c r="R570" s="69"/>
      <c r="S570" s="69"/>
      <c r="T570" s="69"/>
      <c r="U570" s="69"/>
      <c r="V570" s="69"/>
      <c r="W570" s="69"/>
    </row>
    <row r="571" spans="1:23" s="70" customFormat="1" ht="18.75" customHeight="1" x14ac:dyDescent="0.25">
      <c r="A571" s="223"/>
      <c r="B571" s="225"/>
      <c r="C571" s="225"/>
      <c r="D571" s="194"/>
      <c r="E571" s="194"/>
      <c r="F571" s="194"/>
      <c r="G571" s="210"/>
      <c r="H571" s="212"/>
      <c r="I571" s="216"/>
      <c r="J571" s="217"/>
      <c r="K571" s="219"/>
      <c r="L571" s="261"/>
      <c r="M571" s="179"/>
      <c r="N571" s="181"/>
      <c r="O571" s="183"/>
      <c r="P571" s="69"/>
      <c r="Q571" s="69"/>
      <c r="R571" s="69"/>
      <c r="S571" s="69"/>
      <c r="T571" s="69"/>
      <c r="U571" s="69"/>
      <c r="V571" s="69"/>
      <c r="W571" s="69"/>
    </row>
    <row r="572" spans="1:23" s="70" customFormat="1" ht="42" hidden="1" customHeight="1" x14ac:dyDescent="0.25">
      <c r="A572" s="223"/>
      <c r="B572" s="225"/>
      <c r="C572" s="225"/>
      <c r="D572" s="194"/>
      <c r="E572" s="194"/>
      <c r="F572" s="194"/>
      <c r="G572" s="210"/>
      <c r="H572" s="212"/>
      <c r="I572" s="216"/>
      <c r="J572" s="217"/>
      <c r="K572" s="219"/>
      <c r="L572" s="261"/>
      <c r="M572" s="179"/>
      <c r="N572" s="181"/>
      <c r="O572" s="183"/>
      <c r="P572" s="69"/>
      <c r="Q572" s="69"/>
      <c r="R572" s="69"/>
      <c r="S572" s="69"/>
      <c r="T572" s="69"/>
      <c r="U572" s="69"/>
      <c r="V572" s="69"/>
      <c r="W572" s="69"/>
    </row>
    <row r="573" spans="1:23" ht="42" hidden="1" customHeight="1" x14ac:dyDescent="0.25">
      <c r="A573" s="224"/>
      <c r="B573" s="226"/>
      <c r="C573" s="226"/>
      <c r="D573" s="218"/>
      <c r="E573" s="218"/>
      <c r="F573" s="218"/>
      <c r="G573" s="211"/>
      <c r="H573" s="213"/>
      <c r="I573" s="214"/>
      <c r="J573" s="215"/>
      <c r="K573" s="190"/>
      <c r="L573" s="230"/>
      <c r="M573" s="180"/>
      <c r="N573" s="182"/>
      <c r="O573" s="184"/>
      <c r="P573" s="69"/>
      <c r="Q573" s="69"/>
      <c r="R573" s="69"/>
      <c r="S573" s="69"/>
      <c r="T573" s="69"/>
      <c r="U573" s="69"/>
      <c r="V573" s="69"/>
      <c r="W573" s="69"/>
    </row>
    <row r="574" spans="1:23" ht="25.5" customHeight="1" x14ac:dyDescent="0.25">
      <c r="A574" s="220"/>
      <c r="B574" s="191" t="s">
        <v>823</v>
      </c>
      <c r="C574" s="191">
        <v>2005</v>
      </c>
      <c r="D574" s="191" t="s">
        <v>824</v>
      </c>
      <c r="E574" s="191" t="s">
        <v>272</v>
      </c>
      <c r="F574" s="191" t="s">
        <v>240</v>
      </c>
      <c r="G574" s="77">
        <v>9000</v>
      </c>
      <c r="H574" s="77" t="s">
        <v>102</v>
      </c>
      <c r="I574" s="196" t="s">
        <v>41</v>
      </c>
      <c r="J574" s="199"/>
      <c r="K574" s="187"/>
      <c r="L574" s="153" t="s">
        <v>552</v>
      </c>
      <c r="M574" s="125"/>
      <c r="N574" s="168">
        <f>G574*L574</f>
        <v>1643850</v>
      </c>
      <c r="O574" s="91">
        <v>41926</v>
      </c>
      <c r="P574" s="69"/>
      <c r="Q574" s="69"/>
      <c r="R574" s="69"/>
      <c r="S574" s="69"/>
      <c r="T574" s="69"/>
      <c r="U574" s="69"/>
      <c r="V574" s="69"/>
      <c r="W574" s="69"/>
    </row>
    <row r="575" spans="1:23" ht="26.25" customHeight="1" x14ac:dyDescent="0.25">
      <c r="A575" s="221"/>
      <c r="B575" s="193"/>
      <c r="C575" s="193"/>
      <c r="D575" s="218"/>
      <c r="E575" s="193"/>
      <c r="F575" s="218"/>
      <c r="G575" s="77">
        <v>3642.08</v>
      </c>
      <c r="H575" s="77" t="s">
        <v>1060</v>
      </c>
      <c r="I575" s="197"/>
      <c r="J575" s="201"/>
      <c r="K575" s="189"/>
      <c r="L575" s="153" t="s">
        <v>1061</v>
      </c>
      <c r="M575" s="125"/>
      <c r="N575" s="168">
        <f>G575*L575</f>
        <v>664133.28799999994</v>
      </c>
      <c r="O575" s="91">
        <v>41927</v>
      </c>
      <c r="P575" s="69"/>
      <c r="Q575" s="69"/>
      <c r="R575" s="69"/>
      <c r="S575" s="69"/>
      <c r="T575" s="69"/>
      <c r="U575" s="69"/>
      <c r="V575" s="69"/>
      <c r="W575" s="69"/>
    </row>
    <row r="576" spans="1:23" ht="33" customHeight="1" x14ac:dyDescent="0.25">
      <c r="A576" s="118">
        <v>994</v>
      </c>
      <c r="B576" s="85" t="s">
        <v>1050</v>
      </c>
      <c r="C576" s="85">
        <v>2007</v>
      </c>
      <c r="D576" s="166" t="s">
        <v>46</v>
      </c>
      <c r="E576" s="158">
        <v>2014</v>
      </c>
      <c r="F576" s="166" t="s">
        <v>1051</v>
      </c>
      <c r="G576" s="77">
        <f>N576/L576</f>
        <v>1516.5236523652363</v>
      </c>
      <c r="H576" s="77" t="s">
        <v>1052</v>
      </c>
      <c r="I576" s="141" t="s">
        <v>41</v>
      </c>
      <c r="J576" s="142">
        <v>466</v>
      </c>
      <c r="K576" s="143">
        <v>1379</v>
      </c>
      <c r="L576" s="153" t="s">
        <v>1044</v>
      </c>
      <c r="M576" s="125" t="s">
        <v>1047</v>
      </c>
      <c r="N576" s="168">
        <f>60250*M576</f>
        <v>275704</v>
      </c>
      <c r="O576" s="91">
        <v>41926</v>
      </c>
      <c r="P576" s="69"/>
      <c r="Q576" s="69"/>
      <c r="R576" s="69"/>
      <c r="S576" s="69"/>
      <c r="T576" s="69"/>
      <c r="U576" s="69"/>
      <c r="V576" s="69"/>
      <c r="W576" s="69"/>
    </row>
    <row r="577" spans="1:23" ht="30.75" customHeight="1" x14ac:dyDescent="0.25">
      <c r="A577" s="118">
        <v>995</v>
      </c>
      <c r="B577" s="85" t="s">
        <v>1053</v>
      </c>
      <c r="C577" s="85">
        <v>2001</v>
      </c>
      <c r="D577" s="166" t="s">
        <v>46</v>
      </c>
      <c r="E577" s="158">
        <v>2014</v>
      </c>
      <c r="F577" s="166" t="s">
        <v>885</v>
      </c>
      <c r="G577" s="77">
        <f>N577/L577</f>
        <v>4530.6930693069298</v>
      </c>
      <c r="H577" s="77" t="s">
        <v>1054</v>
      </c>
      <c r="I577" s="141" t="s">
        <v>41</v>
      </c>
      <c r="J577" s="142">
        <v>467</v>
      </c>
      <c r="K577" s="143">
        <v>1380</v>
      </c>
      <c r="L577" s="153" t="s">
        <v>1044</v>
      </c>
      <c r="M577" s="125" t="s">
        <v>1047</v>
      </c>
      <c r="N577" s="168">
        <f>180000*M577</f>
        <v>823679.99999999988</v>
      </c>
      <c r="O577" s="91">
        <v>41926</v>
      </c>
      <c r="P577" s="69"/>
      <c r="Q577" s="69"/>
      <c r="R577" s="69"/>
      <c r="S577" s="69"/>
      <c r="T577" s="69"/>
      <c r="U577" s="69"/>
      <c r="V577" s="69"/>
      <c r="W577" s="69"/>
    </row>
    <row r="578" spans="1:23" ht="33" customHeight="1" x14ac:dyDescent="0.25">
      <c r="A578" s="118">
        <v>996</v>
      </c>
      <c r="B578" s="85" t="s">
        <v>1055</v>
      </c>
      <c r="C578" s="85">
        <v>1996</v>
      </c>
      <c r="D578" s="166" t="s">
        <v>46</v>
      </c>
      <c r="E578" s="158">
        <v>2014</v>
      </c>
      <c r="F578" s="160" t="s">
        <v>423</v>
      </c>
      <c r="G578" s="77">
        <v>8800</v>
      </c>
      <c r="H578" s="77" t="s">
        <v>1056</v>
      </c>
      <c r="I578" s="141" t="s">
        <v>41</v>
      </c>
      <c r="J578" s="142">
        <v>468</v>
      </c>
      <c r="K578" s="143">
        <v>1381</v>
      </c>
      <c r="L578" s="153" t="s">
        <v>552</v>
      </c>
      <c r="M578" s="125"/>
      <c r="N578" s="168">
        <f>G578*L578</f>
        <v>1607320</v>
      </c>
      <c r="O578" s="91">
        <v>41926</v>
      </c>
      <c r="P578" s="69"/>
      <c r="Q578" s="69"/>
      <c r="R578" s="69"/>
      <c r="S578" s="69"/>
      <c r="T578" s="69"/>
      <c r="U578" s="69"/>
      <c r="V578" s="69"/>
      <c r="W578" s="69"/>
    </row>
    <row r="579" spans="1:23" ht="34.950000000000003" customHeight="1" x14ac:dyDescent="0.25">
      <c r="A579" s="118"/>
      <c r="B579" s="85" t="s">
        <v>1057</v>
      </c>
      <c r="C579" s="85">
        <v>1997</v>
      </c>
      <c r="D579" s="166" t="s">
        <v>46</v>
      </c>
      <c r="E579" s="158" t="s">
        <v>269</v>
      </c>
      <c r="F579" s="160" t="s">
        <v>423</v>
      </c>
      <c r="G579" s="77">
        <v>8800</v>
      </c>
      <c r="H579" s="77" t="s">
        <v>1056</v>
      </c>
      <c r="I579" s="141" t="s">
        <v>41</v>
      </c>
      <c r="J579" s="142">
        <v>469</v>
      </c>
      <c r="K579" s="143">
        <v>1382</v>
      </c>
      <c r="L579" s="153" t="s">
        <v>552</v>
      </c>
      <c r="M579" s="125"/>
      <c r="N579" s="168">
        <f>G579*L579</f>
        <v>1607320</v>
      </c>
      <c r="O579" s="91">
        <v>41926</v>
      </c>
      <c r="P579" s="69"/>
      <c r="Q579" s="69"/>
      <c r="R579" s="69"/>
      <c r="S579" s="69"/>
      <c r="T579" s="69"/>
      <c r="U579" s="69"/>
      <c r="V579" s="69"/>
      <c r="W579" s="69"/>
    </row>
    <row r="580" spans="1:23" ht="35.4" customHeight="1" x14ac:dyDescent="0.25">
      <c r="A580" s="118">
        <v>997</v>
      </c>
      <c r="B580" s="85" t="s">
        <v>1058</v>
      </c>
      <c r="C580" s="85">
        <v>2009</v>
      </c>
      <c r="D580" s="166" t="s">
        <v>46</v>
      </c>
      <c r="E580" s="158">
        <v>2014</v>
      </c>
      <c r="F580" s="160" t="s">
        <v>423</v>
      </c>
      <c r="G580" s="77">
        <v>8800</v>
      </c>
      <c r="H580" s="77" t="s">
        <v>1056</v>
      </c>
      <c r="I580" s="141" t="s">
        <v>41</v>
      </c>
      <c r="J580" s="142">
        <v>470</v>
      </c>
      <c r="K580" s="143">
        <v>1383</v>
      </c>
      <c r="L580" s="153" t="s">
        <v>552</v>
      </c>
      <c r="M580" s="125"/>
      <c r="N580" s="168">
        <f>G580*L580</f>
        <v>1607320</v>
      </c>
      <c r="O580" s="91">
        <v>41926</v>
      </c>
      <c r="P580" s="69"/>
      <c r="Q580" s="69"/>
      <c r="R580" s="69"/>
      <c r="S580" s="69"/>
      <c r="T580" s="69"/>
      <c r="U580" s="69"/>
      <c r="V580" s="69"/>
      <c r="W580" s="69"/>
    </row>
    <row r="581" spans="1:23" ht="36" customHeight="1" x14ac:dyDescent="0.25">
      <c r="A581" s="118"/>
      <c r="B581" s="85" t="s">
        <v>125</v>
      </c>
      <c r="C581" s="85">
        <v>2010</v>
      </c>
      <c r="D581" s="166" t="s">
        <v>46</v>
      </c>
      <c r="E581" s="158" t="s">
        <v>383</v>
      </c>
      <c r="F581" s="166" t="s">
        <v>1051</v>
      </c>
      <c r="G581" s="77">
        <f t="shared" ref="G581:G589" si="8">N581/L581</f>
        <v>1006.8206820682066</v>
      </c>
      <c r="H581" s="77" t="s">
        <v>1059</v>
      </c>
      <c r="I581" s="141" t="s">
        <v>41</v>
      </c>
      <c r="J581" s="142">
        <v>471</v>
      </c>
      <c r="K581" s="143">
        <v>1384</v>
      </c>
      <c r="L581" s="153" t="s">
        <v>1044</v>
      </c>
      <c r="M581" s="125" t="s">
        <v>1047</v>
      </c>
      <c r="N581" s="168">
        <f>40000*M581</f>
        <v>183039.99999999997</v>
      </c>
      <c r="O581" s="91">
        <v>41926</v>
      </c>
      <c r="P581" s="69"/>
      <c r="Q581" s="69"/>
      <c r="R581" s="69"/>
      <c r="S581" s="69"/>
      <c r="T581" s="69"/>
      <c r="U581" s="69"/>
      <c r="V581" s="69"/>
      <c r="W581" s="69"/>
    </row>
    <row r="582" spans="1:23" ht="42" customHeight="1" x14ac:dyDescent="0.25">
      <c r="A582" s="118">
        <v>998</v>
      </c>
      <c r="B582" s="85" t="s">
        <v>1062</v>
      </c>
      <c r="C582" s="85">
        <v>2009</v>
      </c>
      <c r="D582" s="166" t="s">
        <v>46</v>
      </c>
      <c r="E582" s="158">
        <v>2014</v>
      </c>
      <c r="F582" s="158" t="s">
        <v>266</v>
      </c>
      <c r="G582" s="77">
        <f t="shared" si="8"/>
        <v>4008.1848184818473</v>
      </c>
      <c r="H582" s="77" t="s">
        <v>1063</v>
      </c>
      <c r="I582" s="141" t="s">
        <v>41</v>
      </c>
      <c r="J582" s="142">
        <v>472</v>
      </c>
      <c r="K582" s="143">
        <v>1385</v>
      </c>
      <c r="L582" s="153" t="s">
        <v>1044</v>
      </c>
      <c r="M582" s="125" t="s">
        <v>1064</v>
      </c>
      <c r="N582" s="168">
        <f>161500*M582</f>
        <v>728687.99999999988</v>
      </c>
      <c r="O582" s="91">
        <v>41927</v>
      </c>
      <c r="P582" s="69"/>
      <c r="Q582" s="69"/>
      <c r="R582" s="69"/>
      <c r="S582" s="69"/>
      <c r="T582" s="69"/>
      <c r="U582" s="69"/>
      <c r="V582" s="69"/>
      <c r="W582" s="69"/>
    </row>
    <row r="583" spans="1:23" ht="42" customHeight="1" x14ac:dyDescent="0.25">
      <c r="A583" s="118">
        <v>999</v>
      </c>
      <c r="B583" s="85" t="s">
        <v>1065</v>
      </c>
      <c r="C583" s="85">
        <v>2011</v>
      </c>
      <c r="D583" s="166" t="s">
        <v>46</v>
      </c>
      <c r="E583" s="158">
        <v>2014</v>
      </c>
      <c r="F583" s="158" t="s">
        <v>266</v>
      </c>
      <c r="G583" s="77">
        <f t="shared" si="8"/>
        <v>3415.0231023102306</v>
      </c>
      <c r="H583" s="77" t="s">
        <v>1066</v>
      </c>
      <c r="I583" s="141" t="s">
        <v>41</v>
      </c>
      <c r="J583" s="142">
        <v>473</v>
      </c>
      <c r="K583" s="143">
        <v>1386</v>
      </c>
      <c r="L583" s="153" t="s">
        <v>1044</v>
      </c>
      <c r="M583" s="125" t="s">
        <v>1064</v>
      </c>
      <c r="N583" s="168">
        <f>137600*M583</f>
        <v>620851.19999999995</v>
      </c>
      <c r="O583" s="91">
        <v>41927</v>
      </c>
      <c r="P583" s="69"/>
      <c r="Q583" s="69"/>
      <c r="R583" s="69"/>
      <c r="S583" s="69"/>
      <c r="T583" s="69"/>
      <c r="U583" s="69"/>
      <c r="V583" s="69"/>
      <c r="W583" s="69"/>
    </row>
    <row r="584" spans="1:23" ht="42" customHeight="1" x14ac:dyDescent="0.25">
      <c r="A584" s="118"/>
      <c r="B584" s="85" t="s">
        <v>1067</v>
      </c>
      <c r="C584" s="85">
        <v>2011</v>
      </c>
      <c r="D584" s="166" t="s">
        <v>46</v>
      </c>
      <c r="E584" s="158" t="s">
        <v>269</v>
      </c>
      <c r="F584" s="158" t="s">
        <v>266</v>
      </c>
      <c r="G584" s="77">
        <f t="shared" si="8"/>
        <v>1548.6732673267325</v>
      </c>
      <c r="H584" s="77" t="s">
        <v>1068</v>
      </c>
      <c r="I584" s="141" t="s">
        <v>41</v>
      </c>
      <c r="J584" s="142">
        <v>474</v>
      </c>
      <c r="K584" s="143">
        <v>1387</v>
      </c>
      <c r="L584" s="153" t="s">
        <v>1044</v>
      </c>
      <c r="M584" s="125" t="s">
        <v>1064</v>
      </c>
      <c r="N584" s="168">
        <f>62400*M584</f>
        <v>281548.79999999999</v>
      </c>
      <c r="O584" s="91">
        <v>41927</v>
      </c>
      <c r="P584" s="69"/>
      <c r="Q584" s="69"/>
      <c r="R584" s="69"/>
      <c r="S584" s="69"/>
      <c r="T584" s="69"/>
      <c r="U584" s="69"/>
      <c r="V584" s="69"/>
      <c r="W584" s="69"/>
    </row>
    <row r="585" spans="1:23" ht="42" customHeight="1" x14ac:dyDescent="0.25">
      <c r="A585" s="118">
        <v>1000</v>
      </c>
      <c r="B585" s="85" t="s">
        <v>1069</v>
      </c>
      <c r="C585" s="85">
        <v>2006</v>
      </c>
      <c r="D585" s="166" t="s">
        <v>46</v>
      </c>
      <c r="E585" s="158">
        <v>2014</v>
      </c>
      <c r="F585" s="158" t="s">
        <v>266</v>
      </c>
      <c r="G585" s="77">
        <f t="shared" si="8"/>
        <v>4085.1221122112206</v>
      </c>
      <c r="H585" s="77" t="s">
        <v>1070</v>
      </c>
      <c r="I585" s="141" t="s">
        <v>41</v>
      </c>
      <c r="J585" s="142">
        <v>475</v>
      </c>
      <c r="K585" s="143">
        <v>1388</v>
      </c>
      <c r="L585" s="153" t="s">
        <v>1044</v>
      </c>
      <c r="M585" s="125" t="s">
        <v>1064</v>
      </c>
      <c r="N585" s="168">
        <f>164600*M585</f>
        <v>742675.2</v>
      </c>
      <c r="O585" s="91">
        <v>41927</v>
      </c>
      <c r="P585" s="69"/>
      <c r="Q585" s="69"/>
      <c r="R585" s="69"/>
      <c r="S585" s="69"/>
      <c r="T585" s="69"/>
      <c r="U585" s="69"/>
      <c r="V585" s="69"/>
      <c r="W585" s="69"/>
    </row>
    <row r="586" spans="1:23" ht="42" customHeight="1" x14ac:dyDescent="0.25">
      <c r="A586" s="118">
        <v>1001</v>
      </c>
      <c r="B586" s="85" t="s">
        <v>1071</v>
      </c>
      <c r="C586" s="85">
        <v>2006</v>
      </c>
      <c r="D586" s="166" t="s">
        <v>46</v>
      </c>
      <c r="E586" s="158">
        <v>2014</v>
      </c>
      <c r="F586" s="158" t="s">
        <v>266</v>
      </c>
      <c r="G586" s="77">
        <f t="shared" si="8"/>
        <v>4849.2259806081975</v>
      </c>
      <c r="H586" s="77" t="s">
        <v>1072</v>
      </c>
      <c r="I586" s="141" t="s">
        <v>41</v>
      </c>
      <c r="J586" s="142">
        <v>476</v>
      </c>
      <c r="K586" s="143">
        <v>1389</v>
      </c>
      <c r="L586" s="153" t="s">
        <v>1073</v>
      </c>
      <c r="M586" s="125" t="s">
        <v>1074</v>
      </c>
      <c r="N586" s="168">
        <f>193500*M586</f>
        <v>880231.50000000012</v>
      </c>
      <c r="O586" s="91">
        <v>41928</v>
      </c>
      <c r="P586" s="69"/>
      <c r="Q586" s="69"/>
      <c r="R586" s="69"/>
      <c r="S586" s="69"/>
      <c r="T586" s="69"/>
      <c r="U586" s="69"/>
      <c r="V586" s="69"/>
      <c r="W586" s="69"/>
    </row>
    <row r="587" spans="1:23" s="72" customFormat="1" ht="32.4" customHeight="1" x14ac:dyDescent="0.25">
      <c r="A587" s="118">
        <v>1002</v>
      </c>
      <c r="B587" s="85" t="s">
        <v>1075</v>
      </c>
      <c r="C587" s="85">
        <v>2010</v>
      </c>
      <c r="D587" s="166" t="s">
        <v>46</v>
      </c>
      <c r="E587" s="158">
        <v>2014</v>
      </c>
      <c r="F587" s="160" t="s">
        <v>328</v>
      </c>
      <c r="G587" s="77">
        <f t="shared" si="8"/>
        <v>5666.2015204936097</v>
      </c>
      <c r="H587" s="77" t="s">
        <v>1076</v>
      </c>
      <c r="I587" s="141" t="s">
        <v>41</v>
      </c>
      <c r="J587" s="142">
        <v>477</v>
      </c>
      <c r="K587" s="143">
        <v>1390</v>
      </c>
      <c r="L587" s="153" t="s">
        <v>1073</v>
      </c>
      <c r="M587" s="125" t="s">
        <v>1074</v>
      </c>
      <c r="N587" s="168">
        <f>226100*M587</f>
        <v>1028528.9000000001</v>
      </c>
      <c r="O587" s="91">
        <v>41928</v>
      </c>
      <c r="P587" s="69"/>
      <c r="Q587" s="69"/>
      <c r="R587" s="69"/>
      <c r="S587" s="69"/>
      <c r="T587" s="69"/>
      <c r="U587" s="69"/>
      <c r="V587" s="69"/>
      <c r="W587" s="69"/>
    </row>
    <row r="588" spans="1:23" s="67" customFormat="1" ht="33.6" customHeight="1" x14ac:dyDescent="0.25">
      <c r="A588" s="118">
        <v>1003</v>
      </c>
      <c r="B588" s="85" t="s">
        <v>1077</v>
      </c>
      <c r="C588" s="85">
        <v>2003</v>
      </c>
      <c r="D588" s="166" t="s">
        <v>46</v>
      </c>
      <c r="E588" s="158">
        <v>2014</v>
      </c>
      <c r="F588" s="160" t="s">
        <v>328</v>
      </c>
      <c r="G588" s="77">
        <f>N588/L588</f>
        <v>6097.2438298810057</v>
      </c>
      <c r="H588" s="77" t="s">
        <v>1313</v>
      </c>
      <c r="I588" s="141" t="s">
        <v>41</v>
      </c>
      <c r="J588" s="142">
        <v>478</v>
      </c>
      <c r="K588" s="143">
        <v>1391</v>
      </c>
      <c r="L588" s="153" t="s">
        <v>1073</v>
      </c>
      <c r="M588" s="125" t="s">
        <v>1074</v>
      </c>
      <c r="N588" s="168">
        <f>243300*M588</f>
        <v>1106771.7000000002</v>
      </c>
      <c r="O588" s="91">
        <v>41928</v>
      </c>
      <c r="P588" s="69"/>
      <c r="Q588" s="69"/>
      <c r="R588" s="69"/>
      <c r="S588" s="69"/>
      <c r="T588" s="69"/>
      <c r="U588" s="69"/>
      <c r="V588" s="69"/>
      <c r="W588" s="69"/>
    </row>
    <row r="589" spans="1:23" ht="41.4" customHeight="1" x14ac:dyDescent="0.25">
      <c r="A589" s="118">
        <v>1004</v>
      </c>
      <c r="B589" s="85" t="s">
        <v>1078</v>
      </c>
      <c r="C589" s="85">
        <v>2011</v>
      </c>
      <c r="D589" s="166" t="s">
        <v>46</v>
      </c>
      <c r="E589" s="158">
        <v>2014</v>
      </c>
      <c r="F589" s="166" t="s">
        <v>1079</v>
      </c>
      <c r="G589" s="77">
        <f t="shared" si="8"/>
        <v>1108.9315226972235</v>
      </c>
      <c r="H589" s="77" t="s">
        <v>1080</v>
      </c>
      <c r="I589" s="141" t="s">
        <v>41</v>
      </c>
      <c r="J589" s="142">
        <v>479</v>
      </c>
      <c r="K589" s="143">
        <v>1392</v>
      </c>
      <c r="L589" s="153" t="s">
        <v>1073</v>
      </c>
      <c r="M589" s="125" t="s">
        <v>1074</v>
      </c>
      <c r="N589" s="168">
        <f>44250*M589</f>
        <v>201293.25000000003</v>
      </c>
      <c r="O589" s="91">
        <v>41928</v>
      </c>
      <c r="P589" s="69"/>
      <c r="Q589" s="69"/>
      <c r="R589" s="69"/>
      <c r="S589" s="69"/>
      <c r="T589" s="69"/>
      <c r="U589" s="69"/>
      <c r="V589" s="69"/>
      <c r="W589" s="69"/>
    </row>
    <row r="590" spans="1:23" ht="35.4" customHeight="1" x14ac:dyDescent="0.25">
      <c r="A590" s="118">
        <v>1005</v>
      </c>
      <c r="B590" s="85" t="s">
        <v>1081</v>
      </c>
      <c r="C590" s="85">
        <v>2009</v>
      </c>
      <c r="D590" s="166" t="s">
        <v>46</v>
      </c>
      <c r="E590" s="158">
        <v>2014</v>
      </c>
      <c r="F590" s="160" t="s">
        <v>423</v>
      </c>
      <c r="G590" s="77">
        <v>8800</v>
      </c>
      <c r="H590" s="77" t="s">
        <v>1056</v>
      </c>
      <c r="I590" s="141" t="s">
        <v>41</v>
      </c>
      <c r="J590" s="142">
        <v>480</v>
      </c>
      <c r="K590" s="143">
        <v>1393</v>
      </c>
      <c r="L590" s="153" t="s">
        <v>1082</v>
      </c>
      <c r="M590" s="125"/>
      <c r="N590" s="168">
        <f>G590*L590</f>
        <v>1606000</v>
      </c>
      <c r="O590" s="91">
        <v>41928</v>
      </c>
      <c r="P590" s="69"/>
      <c r="Q590" s="69"/>
      <c r="R590" s="69"/>
      <c r="S590" s="69"/>
      <c r="T590" s="69"/>
      <c r="U590" s="69"/>
      <c r="V590" s="69"/>
      <c r="W590" s="69"/>
    </row>
    <row r="591" spans="1:23" s="72" customFormat="1" ht="52.95" customHeight="1" x14ac:dyDescent="0.25">
      <c r="A591" s="118">
        <v>1006</v>
      </c>
      <c r="B591" s="85" t="s">
        <v>1083</v>
      </c>
      <c r="C591" s="85">
        <v>2005</v>
      </c>
      <c r="D591" s="166" t="s">
        <v>46</v>
      </c>
      <c r="E591" s="158">
        <v>2014</v>
      </c>
      <c r="F591" s="160" t="s">
        <v>293</v>
      </c>
      <c r="G591" s="77">
        <f>N591/L591</f>
        <v>5144.4314125165265</v>
      </c>
      <c r="H591" s="77" t="s">
        <v>1084</v>
      </c>
      <c r="I591" s="141" t="s">
        <v>41</v>
      </c>
      <c r="J591" s="142">
        <v>481</v>
      </c>
      <c r="K591" s="143">
        <v>1394</v>
      </c>
      <c r="L591" s="153" t="s">
        <v>1073</v>
      </c>
      <c r="M591" s="125" t="s">
        <v>1085</v>
      </c>
      <c r="N591" s="168">
        <f>3953*M591</f>
        <v>933817.19</v>
      </c>
      <c r="O591" s="91">
        <v>41928</v>
      </c>
      <c r="P591" s="69"/>
      <c r="Q591" s="69"/>
      <c r="R591" s="69"/>
      <c r="S591" s="69"/>
      <c r="T591" s="69"/>
      <c r="U591" s="69"/>
      <c r="V591" s="69"/>
      <c r="W591" s="69"/>
    </row>
    <row r="592" spans="1:23" ht="42" customHeight="1" x14ac:dyDescent="0.25">
      <c r="A592" s="118">
        <v>1007</v>
      </c>
      <c r="B592" s="85" t="s">
        <v>1086</v>
      </c>
      <c r="C592" s="85">
        <v>2011</v>
      </c>
      <c r="D592" s="166" t="s">
        <v>46</v>
      </c>
      <c r="E592" s="158">
        <v>2014</v>
      </c>
      <c r="F592" s="158" t="s">
        <v>266</v>
      </c>
      <c r="G592" s="77">
        <f>N592/L592</f>
        <v>1630.191989863376</v>
      </c>
      <c r="H592" s="77" t="s">
        <v>1087</v>
      </c>
      <c r="I592" s="141" t="s">
        <v>41</v>
      </c>
      <c r="J592" s="142">
        <v>482</v>
      </c>
      <c r="K592" s="143">
        <v>1395</v>
      </c>
      <c r="L592" s="153" t="s">
        <v>1073</v>
      </c>
      <c r="M592" s="125" t="s">
        <v>1074</v>
      </c>
      <c r="N592" s="168">
        <f>65050*M592</f>
        <v>295912.45</v>
      </c>
      <c r="O592" s="91">
        <v>41928</v>
      </c>
      <c r="P592" s="69"/>
      <c r="Q592" s="69"/>
      <c r="R592" s="69"/>
      <c r="S592" s="69"/>
      <c r="T592" s="69"/>
      <c r="U592" s="69"/>
      <c r="V592" s="69"/>
      <c r="W592" s="69"/>
    </row>
    <row r="593" spans="1:23" s="72" customFormat="1" ht="37.200000000000003" customHeight="1" x14ac:dyDescent="0.25">
      <c r="A593" s="118">
        <v>1008</v>
      </c>
      <c r="B593" s="85" t="s">
        <v>1088</v>
      </c>
      <c r="C593" s="85">
        <v>2011</v>
      </c>
      <c r="D593" s="166" t="s">
        <v>46</v>
      </c>
      <c r="E593" s="158">
        <v>2014</v>
      </c>
      <c r="F593" s="160" t="s">
        <v>101</v>
      </c>
      <c r="G593" s="77">
        <v>7988</v>
      </c>
      <c r="H593" s="77" t="s">
        <v>953</v>
      </c>
      <c r="I593" s="141" t="s">
        <v>41</v>
      </c>
      <c r="J593" s="142">
        <v>483</v>
      </c>
      <c r="K593" s="143">
        <v>1396</v>
      </c>
      <c r="L593" s="153" t="s">
        <v>1082</v>
      </c>
      <c r="M593" s="125"/>
      <c r="N593" s="168">
        <f t="shared" ref="N593:N598" si="9">G593*L593</f>
        <v>1457810</v>
      </c>
      <c r="O593" s="91">
        <v>41928</v>
      </c>
      <c r="P593" s="69"/>
      <c r="Q593" s="69"/>
      <c r="R593" s="69"/>
      <c r="S593" s="69"/>
      <c r="T593" s="69"/>
      <c r="U593" s="69"/>
      <c r="V593" s="69"/>
      <c r="W593" s="69"/>
    </row>
    <row r="594" spans="1:23" s="72" customFormat="1" ht="55.2" customHeight="1" x14ac:dyDescent="0.25">
      <c r="A594" s="118"/>
      <c r="B594" s="85" t="s">
        <v>214</v>
      </c>
      <c r="C594" s="85">
        <v>2008</v>
      </c>
      <c r="D594" s="166" t="s">
        <v>46</v>
      </c>
      <c r="E594" s="158" t="s">
        <v>269</v>
      </c>
      <c r="F594" s="160" t="s">
        <v>241</v>
      </c>
      <c r="G594" s="77">
        <v>7986</v>
      </c>
      <c r="H594" s="77" t="s">
        <v>864</v>
      </c>
      <c r="I594" s="141" t="s">
        <v>41</v>
      </c>
      <c r="J594" s="142">
        <v>484</v>
      </c>
      <c r="K594" s="143">
        <v>1397</v>
      </c>
      <c r="L594" s="153" t="s">
        <v>1082</v>
      </c>
      <c r="M594" s="125"/>
      <c r="N594" s="168">
        <f t="shared" si="9"/>
        <v>1457445</v>
      </c>
      <c r="O594" s="91">
        <v>41928</v>
      </c>
      <c r="P594" s="69"/>
      <c r="Q594" s="69"/>
      <c r="R594" s="69"/>
      <c r="S594" s="69"/>
      <c r="T594" s="69"/>
      <c r="U594" s="69"/>
      <c r="V594" s="69"/>
      <c r="W594" s="69"/>
    </row>
    <row r="595" spans="1:23" s="67" customFormat="1" ht="33.6" customHeight="1" x14ac:dyDescent="0.25">
      <c r="A595" s="118"/>
      <c r="B595" s="78" t="s">
        <v>60</v>
      </c>
      <c r="C595" s="85">
        <v>2010</v>
      </c>
      <c r="D595" s="166" t="s">
        <v>46</v>
      </c>
      <c r="E595" s="158" t="s">
        <v>269</v>
      </c>
      <c r="F595" s="160" t="s">
        <v>101</v>
      </c>
      <c r="G595" s="77">
        <v>8000</v>
      </c>
      <c r="H595" s="77" t="s">
        <v>843</v>
      </c>
      <c r="I595" s="141" t="s">
        <v>41</v>
      </c>
      <c r="J595" s="142">
        <v>485</v>
      </c>
      <c r="K595" s="143">
        <v>1398</v>
      </c>
      <c r="L595" s="153" t="s">
        <v>1082</v>
      </c>
      <c r="M595" s="125"/>
      <c r="N595" s="168">
        <f t="shared" si="9"/>
        <v>1460000</v>
      </c>
      <c r="O595" s="91">
        <v>41928</v>
      </c>
      <c r="P595" s="69"/>
      <c r="Q595" s="69"/>
      <c r="R595" s="69"/>
      <c r="S595" s="69"/>
      <c r="T595" s="69"/>
      <c r="U595" s="69"/>
      <c r="V595" s="69"/>
      <c r="W595" s="69"/>
    </row>
    <row r="596" spans="1:23" s="67" customFormat="1" ht="33.6" customHeight="1" x14ac:dyDescent="0.25">
      <c r="A596" s="118"/>
      <c r="B596" s="75" t="s">
        <v>59</v>
      </c>
      <c r="C596" s="85">
        <v>2011</v>
      </c>
      <c r="D596" s="166" t="s">
        <v>46</v>
      </c>
      <c r="E596" s="158" t="s">
        <v>269</v>
      </c>
      <c r="F596" s="160" t="s">
        <v>101</v>
      </c>
      <c r="G596" s="77">
        <v>8000</v>
      </c>
      <c r="H596" s="77" t="s">
        <v>843</v>
      </c>
      <c r="I596" s="141" t="s">
        <v>41</v>
      </c>
      <c r="J596" s="142">
        <v>486</v>
      </c>
      <c r="K596" s="143">
        <v>1399</v>
      </c>
      <c r="L596" s="153" t="s">
        <v>1082</v>
      </c>
      <c r="M596" s="125"/>
      <c r="N596" s="168">
        <f t="shared" si="9"/>
        <v>1460000</v>
      </c>
      <c r="O596" s="91">
        <v>41928</v>
      </c>
      <c r="P596" s="69"/>
      <c r="Q596" s="69"/>
      <c r="R596" s="69"/>
      <c r="S596" s="69"/>
      <c r="T596" s="69"/>
      <c r="U596" s="69"/>
      <c r="V596" s="69"/>
      <c r="W596" s="69"/>
    </row>
    <row r="597" spans="1:23" s="67" customFormat="1" ht="36" customHeight="1" x14ac:dyDescent="0.25">
      <c r="A597" s="118">
        <v>1009</v>
      </c>
      <c r="B597" s="85" t="s">
        <v>1325</v>
      </c>
      <c r="C597" s="85">
        <v>2012</v>
      </c>
      <c r="D597" s="166" t="s">
        <v>46</v>
      </c>
      <c r="E597" s="158">
        <v>2014</v>
      </c>
      <c r="F597" s="160" t="s">
        <v>101</v>
      </c>
      <c r="G597" s="77">
        <v>8000</v>
      </c>
      <c r="H597" s="77" t="s">
        <v>843</v>
      </c>
      <c r="I597" s="141" t="s">
        <v>41</v>
      </c>
      <c r="J597" s="142">
        <v>487</v>
      </c>
      <c r="K597" s="143">
        <v>1400</v>
      </c>
      <c r="L597" s="153" t="s">
        <v>1082</v>
      </c>
      <c r="M597" s="125"/>
      <c r="N597" s="168">
        <f t="shared" si="9"/>
        <v>1460000</v>
      </c>
      <c r="O597" s="91">
        <v>41928</v>
      </c>
      <c r="P597" s="69"/>
      <c r="Q597" s="69"/>
      <c r="R597" s="69"/>
      <c r="S597" s="69"/>
      <c r="T597" s="69"/>
      <c r="U597" s="69"/>
      <c r="V597" s="69"/>
      <c r="W597" s="69"/>
    </row>
    <row r="598" spans="1:23" s="67" customFormat="1" ht="66.599999999999994" customHeight="1" x14ac:dyDescent="0.25">
      <c r="A598" s="118"/>
      <c r="B598" s="85" t="s">
        <v>477</v>
      </c>
      <c r="C598" s="85">
        <v>1998</v>
      </c>
      <c r="D598" s="158" t="s">
        <v>478</v>
      </c>
      <c r="E598" s="160" t="s">
        <v>272</v>
      </c>
      <c r="F598" s="160" t="s">
        <v>240</v>
      </c>
      <c r="G598" s="77">
        <v>6500</v>
      </c>
      <c r="H598" s="77" t="s">
        <v>408</v>
      </c>
      <c r="I598" s="141" t="s">
        <v>41</v>
      </c>
      <c r="J598" s="142"/>
      <c r="K598" s="143"/>
      <c r="L598" s="153" t="s">
        <v>1082</v>
      </c>
      <c r="M598" s="125"/>
      <c r="N598" s="168">
        <f t="shared" si="9"/>
        <v>1186250</v>
      </c>
      <c r="O598" s="91">
        <v>41929</v>
      </c>
      <c r="P598" s="69"/>
      <c r="Q598" s="69"/>
      <c r="R598" s="69"/>
      <c r="S598" s="69"/>
      <c r="T598" s="69"/>
      <c r="U598" s="69"/>
      <c r="V598" s="69"/>
      <c r="W598" s="69"/>
    </row>
    <row r="599" spans="1:23" s="72" customFormat="1" ht="35.4" customHeight="1" x14ac:dyDescent="0.25">
      <c r="A599" s="118">
        <v>1010</v>
      </c>
      <c r="B599" s="85" t="s">
        <v>1089</v>
      </c>
      <c r="C599" s="85">
        <v>2010</v>
      </c>
      <c r="D599" s="166" t="s">
        <v>46</v>
      </c>
      <c r="E599" s="158">
        <v>2014</v>
      </c>
      <c r="F599" s="160" t="s">
        <v>328</v>
      </c>
      <c r="G599" s="77">
        <f>N599/L599</f>
        <v>5803.5785123966944</v>
      </c>
      <c r="H599" s="77" t="s">
        <v>1090</v>
      </c>
      <c r="I599" s="141" t="s">
        <v>41</v>
      </c>
      <c r="J599" s="142">
        <v>488</v>
      </c>
      <c r="K599" s="143">
        <v>1401</v>
      </c>
      <c r="L599" s="153" t="s">
        <v>1091</v>
      </c>
      <c r="M599" s="125" t="s">
        <v>1092</v>
      </c>
      <c r="N599" s="168">
        <f>233300*M599</f>
        <v>1053349.5</v>
      </c>
      <c r="O599" s="91">
        <v>41929</v>
      </c>
      <c r="P599" s="69"/>
      <c r="Q599" s="69"/>
      <c r="R599" s="69"/>
      <c r="S599" s="69"/>
      <c r="T599" s="69"/>
      <c r="U599" s="69"/>
      <c r="V599" s="69"/>
      <c r="W599" s="69"/>
    </row>
    <row r="600" spans="1:23" s="72" customFormat="1" ht="35.4" customHeight="1" x14ac:dyDescent="0.25">
      <c r="A600" s="118"/>
      <c r="B600" s="85" t="s">
        <v>83</v>
      </c>
      <c r="C600" s="85">
        <v>2009</v>
      </c>
      <c r="D600" s="166" t="s">
        <v>46</v>
      </c>
      <c r="E600" s="160" t="s">
        <v>272</v>
      </c>
      <c r="F600" s="158" t="s">
        <v>1093</v>
      </c>
      <c r="G600" s="77">
        <f>N600/L600</f>
        <v>1151.138429752066</v>
      </c>
      <c r="H600" s="77" t="s">
        <v>1094</v>
      </c>
      <c r="I600" s="141" t="s">
        <v>720</v>
      </c>
      <c r="J600" s="142"/>
      <c r="K600" s="143"/>
      <c r="L600" s="153" t="s">
        <v>1091</v>
      </c>
      <c r="M600" s="125" t="s">
        <v>1092</v>
      </c>
      <c r="N600" s="168">
        <f>46275*M600</f>
        <v>208931.62499999997</v>
      </c>
      <c r="O600" s="91">
        <v>41929</v>
      </c>
      <c r="P600" s="69"/>
      <c r="Q600" s="69"/>
      <c r="R600" s="69"/>
      <c r="S600" s="69"/>
      <c r="T600" s="69"/>
      <c r="U600" s="69"/>
      <c r="V600" s="69"/>
      <c r="W600" s="69"/>
    </row>
    <row r="601" spans="1:23" s="72" customFormat="1" ht="35.4" customHeight="1" x14ac:dyDescent="0.25">
      <c r="A601" s="118">
        <v>1011</v>
      </c>
      <c r="B601" s="85" t="s">
        <v>1095</v>
      </c>
      <c r="C601" s="85">
        <v>2007</v>
      </c>
      <c r="D601" s="166" t="s">
        <v>46</v>
      </c>
      <c r="E601" s="158">
        <v>2014</v>
      </c>
      <c r="F601" s="160" t="s">
        <v>328</v>
      </c>
      <c r="G601" s="77">
        <f>N601/L601</f>
        <v>5915.5206611570247</v>
      </c>
      <c r="H601" s="77" t="s">
        <v>1096</v>
      </c>
      <c r="I601" s="141" t="s">
        <v>41</v>
      </c>
      <c r="J601" s="142">
        <v>489</v>
      </c>
      <c r="K601" s="143">
        <v>1402</v>
      </c>
      <c r="L601" s="153" t="s">
        <v>1091</v>
      </c>
      <c r="M601" s="125" t="s">
        <v>1092</v>
      </c>
      <c r="N601" s="168">
        <f>237800*M601</f>
        <v>1073667</v>
      </c>
      <c r="O601" s="91">
        <v>41929</v>
      </c>
      <c r="P601" s="69"/>
      <c r="Q601" s="69"/>
      <c r="R601" s="69"/>
      <c r="S601" s="69"/>
      <c r="T601" s="69"/>
      <c r="U601" s="69"/>
      <c r="V601" s="69"/>
      <c r="W601" s="69"/>
    </row>
    <row r="602" spans="1:23" s="72" customFormat="1" ht="33" customHeight="1" x14ac:dyDescent="0.25">
      <c r="A602" s="118"/>
      <c r="B602" s="85" t="s">
        <v>225</v>
      </c>
      <c r="C602" s="85">
        <v>2011</v>
      </c>
      <c r="D602" s="166" t="s">
        <v>46</v>
      </c>
      <c r="E602" s="158" t="s">
        <v>383</v>
      </c>
      <c r="F602" s="160" t="s">
        <v>328</v>
      </c>
      <c r="G602" s="77">
        <f>N602/L602</f>
        <v>6015.8214876033053</v>
      </c>
      <c r="H602" s="77" t="s">
        <v>1097</v>
      </c>
      <c r="I602" s="141" t="s">
        <v>41</v>
      </c>
      <c r="J602" s="142">
        <v>490</v>
      </c>
      <c r="K602" s="143">
        <v>1403</v>
      </c>
      <c r="L602" s="153" t="s">
        <v>1091</v>
      </c>
      <c r="M602" s="125" t="s">
        <v>1098</v>
      </c>
      <c r="N602" s="168">
        <f>242800*M602</f>
        <v>1091871.5999999999</v>
      </c>
      <c r="O602" s="91">
        <v>41932</v>
      </c>
      <c r="P602" s="69"/>
      <c r="Q602" s="69"/>
      <c r="R602" s="69"/>
      <c r="S602" s="69"/>
      <c r="T602" s="69"/>
      <c r="U602" s="69"/>
      <c r="V602" s="69"/>
      <c r="W602" s="69"/>
    </row>
    <row r="603" spans="1:23" s="72" customFormat="1" ht="51.6" customHeight="1" x14ac:dyDescent="0.25">
      <c r="A603" s="118"/>
      <c r="B603" s="85" t="s">
        <v>176</v>
      </c>
      <c r="C603" s="85">
        <v>2009</v>
      </c>
      <c r="D603" s="166" t="s">
        <v>46</v>
      </c>
      <c r="E603" s="158" t="s">
        <v>269</v>
      </c>
      <c r="F603" s="160" t="s">
        <v>293</v>
      </c>
      <c r="G603" s="77">
        <f>N603/L603</f>
        <v>4803.9211019283739</v>
      </c>
      <c r="H603" s="77" t="s">
        <v>1099</v>
      </c>
      <c r="I603" s="141" t="s">
        <v>41</v>
      </c>
      <c r="J603" s="142">
        <v>491</v>
      </c>
      <c r="K603" s="143">
        <v>1404</v>
      </c>
      <c r="L603" s="153" t="s">
        <v>1091</v>
      </c>
      <c r="M603" s="125" t="s">
        <v>1100</v>
      </c>
      <c r="N603" s="168">
        <f>3712*M603</f>
        <v>871911.67999999993</v>
      </c>
      <c r="O603" s="91">
        <v>41932</v>
      </c>
      <c r="P603" s="69"/>
      <c r="Q603" s="69"/>
      <c r="R603" s="69"/>
      <c r="S603" s="69"/>
      <c r="T603" s="69"/>
      <c r="U603" s="69"/>
      <c r="V603" s="69"/>
      <c r="W603" s="69"/>
    </row>
    <row r="604" spans="1:23" ht="35.4" customHeight="1" x14ac:dyDescent="0.25">
      <c r="A604" s="118">
        <v>1012</v>
      </c>
      <c r="B604" s="85" t="s">
        <v>1102</v>
      </c>
      <c r="C604" s="85">
        <v>2009</v>
      </c>
      <c r="D604" s="166" t="s">
        <v>46</v>
      </c>
      <c r="E604" s="158">
        <v>2014</v>
      </c>
      <c r="F604" s="160" t="s">
        <v>242</v>
      </c>
      <c r="G604" s="77">
        <v>5150.5</v>
      </c>
      <c r="H604" s="77" t="s">
        <v>1204</v>
      </c>
      <c r="I604" s="141" t="s">
        <v>41</v>
      </c>
      <c r="J604" s="142">
        <v>492</v>
      </c>
      <c r="K604" s="143">
        <v>1405</v>
      </c>
      <c r="L604" s="153" t="s">
        <v>1101</v>
      </c>
      <c r="M604" s="125"/>
      <c r="N604" s="168">
        <f t="shared" ref="N604:N613" si="10">G604*L604</f>
        <v>939708.72499999998</v>
      </c>
      <c r="O604" s="91">
        <v>41932</v>
      </c>
      <c r="P604" s="69"/>
      <c r="Q604" s="69"/>
      <c r="R604" s="69"/>
      <c r="S604" s="69"/>
      <c r="T604" s="69"/>
      <c r="U604" s="69"/>
      <c r="V604" s="69"/>
      <c r="W604" s="69"/>
    </row>
    <row r="605" spans="1:23" ht="36.6" customHeight="1" x14ac:dyDescent="0.25">
      <c r="A605" s="118">
        <v>1013</v>
      </c>
      <c r="B605" s="85" t="s">
        <v>1103</v>
      </c>
      <c r="C605" s="85">
        <v>2012</v>
      </c>
      <c r="D605" s="166" t="s">
        <v>46</v>
      </c>
      <c r="E605" s="158">
        <v>2014</v>
      </c>
      <c r="F605" s="160" t="s">
        <v>242</v>
      </c>
      <c r="G605" s="77">
        <v>4780</v>
      </c>
      <c r="H605" s="77" t="s">
        <v>1206</v>
      </c>
      <c r="I605" s="141" t="s">
        <v>41</v>
      </c>
      <c r="J605" s="142">
        <v>493</v>
      </c>
      <c r="K605" s="143">
        <v>1406</v>
      </c>
      <c r="L605" s="153" t="s">
        <v>1101</v>
      </c>
      <c r="M605" s="125"/>
      <c r="N605" s="168">
        <f t="shared" si="10"/>
        <v>872111</v>
      </c>
      <c r="O605" s="91">
        <v>41932</v>
      </c>
      <c r="P605" s="69"/>
      <c r="Q605" s="69"/>
      <c r="R605" s="69"/>
      <c r="S605" s="69"/>
      <c r="T605" s="69"/>
      <c r="U605" s="69"/>
      <c r="V605" s="69"/>
      <c r="W605" s="69"/>
    </row>
    <row r="606" spans="1:23" s="72" customFormat="1" ht="33" customHeight="1" x14ac:dyDescent="0.25">
      <c r="A606" s="118"/>
      <c r="B606" s="85" t="s">
        <v>70</v>
      </c>
      <c r="C606" s="85">
        <v>2011</v>
      </c>
      <c r="D606" s="166" t="s">
        <v>46</v>
      </c>
      <c r="E606" s="158" t="s">
        <v>383</v>
      </c>
      <c r="F606" s="160" t="s">
        <v>242</v>
      </c>
      <c r="G606" s="77">
        <v>3697</v>
      </c>
      <c r="H606" s="77" t="s">
        <v>1205</v>
      </c>
      <c r="I606" s="141" t="s">
        <v>41</v>
      </c>
      <c r="J606" s="142">
        <v>494</v>
      </c>
      <c r="K606" s="143">
        <v>1407</v>
      </c>
      <c r="L606" s="153" t="s">
        <v>1101</v>
      </c>
      <c r="M606" s="125"/>
      <c r="N606" s="168">
        <f t="shared" si="10"/>
        <v>674517.64999999991</v>
      </c>
      <c r="O606" s="91">
        <v>41932</v>
      </c>
      <c r="P606" s="69"/>
      <c r="Q606" s="69"/>
      <c r="R606" s="69"/>
      <c r="S606" s="69"/>
      <c r="T606" s="69"/>
      <c r="U606" s="69"/>
      <c r="V606" s="69"/>
      <c r="W606" s="69"/>
    </row>
    <row r="607" spans="1:23" ht="33" customHeight="1" x14ac:dyDescent="0.25">
      <c r="A607" s="118"/>
      <c r="B607" s="75" t="s">
        <v>192</v>
      </c>
      <c r="C607" s="85">
        <v>2007</v>
      </c>
      <c r="D607" s="166" t="s">
        <v>46</v>
      </c>
      <c r="E607" s="158" t="s">
        <v>269</v>
      </c>
      <c r="F607" s="160" t="s">
        <v>240</v>
      </c>
      <c r="G607" s="77">
        <v>5800</v>
      </c>
      <c r="H607" s="77" t="s">
        <v>911</v>
      </c>
      <c r="I607" s="141" t="s">
        <v>41</v>
      </c>
      <c r="J607" s="142">
        <v>495</v>
      </c>
      <c r="K607" s="143">
        <v>1408</v>
      </c>
      <c r="L607" s="153" t="s">
        <v>1101</v>
      </c>
      <c r="M607" s="125"/>
      <c r="N607" s="168">
        <f t="shared" si="10"/>
        <v>1058210</v>
      </c>
      <c r="O607" s="91">
        <v>41932</v>
      </c>
      <c r="P607" s="69"/>
      <c r="Q607" s="69"/>
      <c r="R607" s="69"/>
      <c r="S607" s="69"/>
      <c r="T607" s="69"/>
      <c r="U607" s="69"/>
      <c r="V607" s="69"/>
      <c r="W607" s="69"/>
    </row>
    <row r="608" spans="1:23" ht="33" customHeight="1" x14ac:dyDescent="0.25">
      <c r="A608" s="118">
        <v>1014</v>
      </c>
      <c r="B608" s="85" t="s">
        <v>1104</v>
      </c>
      <c r="C608" s="85">
        <v>2005</v>
      </c>
      <c r="D608" s="166" t="s">
        <v>46</v>
      </c>
      <c r="E608" s="158">
        <v>2014</v>
      </c>
      <c r="F608" s="160" t="s">
        <v>240</v>
      </c>
      <c r="G608" s="77">
        <v>5800</v>
      </c>
      <c r="H608" s="77" t="s">
        <v>911</v>
      </c>
      <c r="I608" s="141" t="s">
        <v>41</v>
      </c>
      <c r="J608" s="142">
        <v>496</v>
      </c>
      <c r="K608" s="143">
        <v>1409</v>
      </c>
      <c r="L608" s="153" t="s">
        <v>1101</v>
      </c>
      <c r="M608" s="125"/>
      <c r="N608" s="168">
        <f t="shared" si="10"/>
        <v>1058210</v>
      </c>
      <c r="O608" s="91">
        <v>41932</v>
      </c>
      <c r="P608" s="69"/>
      <c r="Q608" s="69"/>
      <c r="R608" s="69"/>
      <c r="S608" s="69"/>
      <c r="T608" s="69"/>
      <c r="U608" s="69"/>
      <c r="V608" s="69"/>
      <c r="W608" s="69"/>
    </row>
    <row r="609" spans="1:23" ht="33" customHeight="1" x14ac:dyDescent="0.25">
      <c r="A609" s="118"/>
      <c r="B609" s="85" t="s">
        <v>72</v>
      </c>
      <c r="C609" s="85">
        <v>2010</v>
      </c>
      <c r="D609" s="166" t="s">
        <v>46</v>
      </c>
      <c r="E609" s="158" t="s">
        <v>383</v>
      </c>
      <c r="F609" s="160" t="s">
        <v>101</v>
      </c>
      <c r="G609" s="77">
        <v>607</v>
      </c>
      <c r="H609" s="77" t="s">
        <v>1105</v>
      </c>
      <c r="I609" s="141" t="s">
        <v>41</v>
      </c>
      <c r="J609" s="142">
        <v>497</v>
      </c>
      <c r="K609" s="143">
        <v>1410</v>
      </c>
      <c r="L609" s="153" t="s">
        <v>1101</v>
      </c>
      <c r="M609" s="125"/>
      <c r="N609" s="168">
        <f t="shared" si="10"/>
        <v>110747.15</v>
      </c>
      <c r="O609" s="91">
        <v>41932</v>
      </c>
      <c r="P609" s="69"/>
      <c r="Q609" s="69"/>
      <c r="R609" s="69"/>
      <c r="S609" s="69"/>
      <c r="T609" s="69"/>
      <c r="U609" s="69"/>
      <c r="V609" s="69"/>
      <c r="W609" s="69"/>
    </row>
    <row r="610" spans="1:23" ht="33.6" customHeight="1" x14ac:dyDescent="0.25">
      <c r="A610" s="118"/>
      <c r="B610" s="85" t="s">
        <v>76</v>
      </c>
      <c r="C610" s="85">
        <v>2007</v>
      </c>
      <c r="D610" s="166" t="s">
        <v>46</v>
      </c>
      <c r="E610" s="158" t="s">
        <v>269</v>
      </c>
      <c r="F610" s="160" t="s">
        <v>101</v>
      </c>
      <c r="G610" s="77">
        <v>1082</v>
      </c>
      <c r="H610" s="77" t="s">
        <v>1106</v>
      </c>
      <c r="I610" s="141" t="s">
        <v>41</v>
      </c>
      <c r="J610" s="142">
        <v>498</v>
      </c>
      <c r="K610" s="143">
        <v>1411</v>
      </c>
      <c r="L610" s="153" t="s">
        <v>1101</v>
      </c>
      <c r="M610" s="125"/>
      <c r="N610" s="168">
        <f t="shared" si="10"/>
        <v>197410.9</v>
      </c>
      <c r="O610" s="91">
        <v>41932</v>
      </c>
      <c r="P610" s="69"/>
      <c r="Q610" s="69"/>
      <c r="R610" s="69"/>
      <c r="S610" s="69"/>
      <c r="T610" s="69"/>
      <c r="U610" s="69"/>
      <c r="V610" s="69"/>
      <c r="W610" s="69"/>
    </row>
    <row r="611" spans="1:23" s="72" customFormat="1" ht="34.950000000000003" customHeight="1" x14ac:dyDescent="0.25">
      <c r="A611" s="118">
        <v>1015</v>
      </c>
      <c r="B611" s="85" t="s">
        <v>1107</v>
      </c>
      <c r="C611" s="85">
        <v>2007</v>
      </c>
      <c r="D611" s="166" t="s">
        <v>46</v>
      </c>
      <c r="E611" s="158">
        <v>2014</v>
      </c>
      <c r="F611" s="160" t="s">
        <v>101</v>
      </c>
      <c r="G611" s="77">
        <v>7988</v>
      </c>
      <c r="H611" s="77" t="s">
        <v>953</v>
      </c>
      <c r="I611" s="141" t="s">
        <v>41</v>
      </c>
      <c r="J611" s="142">
        <v>499</v>
      </c>
      <c r="K611" s="143">
        <v>1412</v>
      </c>
      <c r="L611" s="153" t="s">
        <v>1101</v>
      </c>
      <c r="M611" s="125"/>
      <c r="N611" s="168">
        <f t="shared" si="10"/>
        <v>1457410.5999999999</v>
      </c>
      <c r="O611" s="91">
        <v>41932</v>
      </c>
      <c r="P611" s="69"/>
      <c r="Q611" s="69"/>
      <c r="R611" s="69"/>
      <c r="S611" s="69"/>
      <c r="T611" s="69"/>
      <c r="U611" s="69"/>
      <c r="V611" s="69"/>
      <c r="W611" s="69"/>
    </row>
    <row r="612" spans="1:23" ht="34.950000000000003" customHeight="1" x14ac:dyDescent="0.25">
      <c r="A612" s="118"/>
      <c r="B612" s="85" t="s">
        <v>236</v>
      </c>
      <c r="C612" s="85">
        <v>2008</v>
      </c>
      <c r="D612" s="166" t="s">
        <v>46</v>
      </c>
      <c r="E612" s="158" t="s">
        <v>269</v>
      </c>
      <c r="F612" s="160" t="s">
        <v>101</v>
      </c>
      <c r="G612" s="77">
        <v>7988</v>
      </c>
      <c r="H612" s="77" t="s">
        <v>953</v>
      </c>
      <c r="I612" s="141" t="s">
        <v>41</v>
      </c>
      <c r="J612" s="142">
        <v>500</v>
      </c>
      <c r="K612" s="143">
        <v>1413</v>
      </c>
      <c r="L612" s="153" t="s">
        <v>1101</v>
      </c>
      <c r="M612" s="125"/>
      <c r="N612" s="168">
        <f t="shared" si="10"/>
        <v>1457410.5999999999</v>
      </c>
      <c r="O612" s="91">
        <v>41932</v>
      </c>
      <c r="P612" s="69"/>
      <c r="Q612" s="69"/>
      <c r="R612" s="69"/>
      <c r="S612" s="69"/>
      <c r="T612" s="69"/>
      <c r="U612" s="69"/>
      <c r="V612" s="69"/>
      <c r="W612" s="69"/>
    </row>
    <row r="613" spans="1:23" s="72" customFormat="1" ht="35.4" customHeight="1" x14ac:dyDescent="0.25">
      <c r="A613" s="118"/>
      <c r="B613" s="85" t="s">
        <v>189</v>
      </c>
      <c r="C613" s="85">
        <v>2012</v>
      </c>
      <c r="D613" s="166" t="s">
        <v>46</v>
      </c>
      <c r="E613" s="160" t="s">
        <v>272</v>
      </c>
      <c r="F613" s="160" t="s">
        <v>101</v>
      </c>
      <c r="G613" s="77">
        <v>3994</v>
      </c>
      <c r="H613" s="77" t="s">
        <v>983</v>
      </c>
      <c r="I613" s="141" t="s">
        <v>41</v>
      </c>
      <c r="J613" s="142"/>
      <c r="K613" s="143"/>
      <c r="L613" s="153" t="s">
        <v>1101</v>
      </c>
      <c r="M613" s="125"/>
      <c r="N613" s="168">
        <f t="shared" si="10"/>
        <v>728705.29999999993</v>
      </c>
      <c r="O613" s="91">
        <v>41932</v>
      </c>
      <c r="P613" s="69"/>
      <c r="Q613" s="69"/>
      <c r="R613" s="69"/>
      <c r="S613" s="69"/>
      <c r="T613" s="69"/>
      <c r="U613" s="69"/>
      <c r="V613" s="69"/>
      <c r="W613" s="69"/>
    </row>
    <row r="614" spans="1:23" s="72" customFormat="1" ht="57" customHeight="1" x14ac:dyDescent="0.25">
      <c r="A614" s="118"/>
      <c r="B614" s="85" t="s">
        <v>289</v>
      </c>
      <c r="C614" s="85">
        <v>2004</v>
      </c>
      <c r="D614" s="166" t="s">
        <v>46</v>
      </c>
      <c r="E614" s="163" t="s">
        <v>269</v>
      </c>
      <c r="F614" s="160" t="s">
        <v>293</v>
      </c>
      <c r="G614" s="77">
        <f>N614/L614</f>
        <v>5039.4581818181814</v>
      </c>
      <c r="H614" s="77" t="s">
        <v>959</v>
      </c>
      <c r="I614" s="141" t="s">
        <v>41</v>
      </c>
      <c r="J614" s="142">
        <v>501</v>
      </c>
      <c r="K614" s="143">
        <v>1414</v>
      </c>
      <c r="L614" s="153" t="s">
        <v>1091</v>
      </c>
      <c r="M614" s="125" t="s">
        <v>1100</v>
      </c>
      <c r="N614" s="168">
        <f>3894*M614</f>
        <v>914661.65999999992</v>
      </c>
      <c r="O614" s="91">
        <v>41932</v>
      </c>
      <c r="P614" s="69"/>
      <c r="Q614" s="69"/>
      <c r="R614" s="69"/>
      <c r="S614" s="69"/>
      <c r="T614" s="69"/>
      <c r="U614" s="69"/>
      <c r="V614" s="69"/>
      <c r="W614" s="69"/>
    </row>
    <row r="615" spans="1:23" s="72" customFormat="1" ht="35.4" customHeight="1" x14ac:dyDescent="0.25">
      <c r="A615" s="118"/>
      <c r="B615" s="85" t="s">
        <v>231</v>
      </c>
      <c r="C615" s="85">
        <v>2005</v>
      </c>
      <c r="D615" s="166" t="s">
        <v>46</v>
      </c>
      <c r="E615" s="163" t="s">
        <v>269</v>
      </c>
      <c r="F615" s="160" t="s">
        <v>101</v>
      </c>
      <c r="G615" s="77">
        <v>7965</v>
      </c>
      <c r="H615" s="77" t="s">
        <v>955</v>
      </c>
      <c r="I615" s="141" t="s">
        <v>41</v>
      </c>
      <c r="J615" s="142">
        <v>502</v>
      </c>
      <c r="K615" s="143">
        <v>1415</v>
      </c>
      <c r="L615" s="153" t="s">
        <v>1101</v>
      </c>
      <c r="M615" s="125"/>
      <c r="N615" s="168">
        <f>G615*L615</f>
        <v>1453214.25</v>
      </c>
      <c r="O615" s="91">
        <v>41932</v>
      </c>
      <c r="P615" s="69"/>
      <c r="Q615" s="69"/>
      <c r="R615" s="69"/>
      <c r="S615" s="69"/>
      <c r="T615" s="69"/>
      <c r="U615" s="69"/>
      <c r="V615" s="69"/>
      <c r="W615" s="69"/>
    </row>
    <row r="616" spans="1:23" s="72" customFormat="1" ht="33.6" customHeight="1" x14ac:dyDescent="0.25">
      <c r="A616" s="118">
        <v>1016</v>
      </c>
      <c r="B616" s="85" t="s">
        <v>1108</v>
      </c>
      <c r="C616" s="85">
        <v>2006</v>
      </c>
      <c r="D616" s="166" t="s">
        <v>46</v>
      </c>
      <c r="E616" s="163">
        <v>2014</v>
      </c>
      <c r="F616" s="160" t="s">
        <v>101</v>
      </c>
      <c r="G616" s="77">
        <v>7938</v>
      </c>
      <c r="H616" s="77" t="s">
        <v>1109</v>
      </c>
      <c r="I616" s="141" t="s">
        <v>41</v>
      </c>
      <c r="J616" s="142">
        <v>503</v>
      </c>
      <c r="K616" s="143">
        <v>1416</v>
      </c>
      <c r="L616" s="153" t="s">
        <v>487</v>
      </c>
      <c r="M616" s="125"/>
      <c r="N616" s="168">
        <f>G616*L616</f>
        <v>1445112.9000000001</v>
      </c>
      <c r="O616" s="91">
        <v>41933</v>
      </c>
      <c r="P616" s="69"/>
      <c r="Q616" s="69"/>
      <c r="R616" s="69"/>
      <c r="S616" s="69"/>
      <c r="T616" s="69"/>
      <c r="U616" s="69"/>
      <c r="V616" s="69"/>
      <c r="W616" s="69"/>
    </row>
    <row r="617" spans="1:23" ht="35.4" customHeight="1" x14ac:dyDescent="0.25">
      <c r="A617" s="118"/>
      <c r="B617" s="85" t="s">
        <v>177</v>
      </c>
      <c r="C617" s="85">
        <v>2007</v>
      </c>
      <c r="D617" s="166" t="s">
        <v>46</v>
      </c>
      <c r="E617" s="163" t="s">
        <v>269</v>
      </c>
      <c r="F617" s="160" t="s">
        <v>101</v>
      </c>
      <c r="G617" s="77">
        <v>7979</v>
      </c>
      <c r="H617" s="77" t="s">
        <v>1110</v>
      </c>
      <c r="I617" s="141" t="s">
        <v>41</v>
      </c>
      <c r="J617" s="142">
        <v>504</v>
      </c>
      <c r="K617" s="143">
        <v>1417</v>
      </c>
      <c r="L617" s="153" t="s">
        <v>487</v>
      </c>
      <c r="M617" s="125"/>
      <c r="N617" s="168">
        <f>G617*L617</f>
        <v>1452576.9500000002</v>
      </c>
      <c r="O617" s="91">
        <v>41933</v>
      </c>
      <c r="P617" s="69"/>
      <c r="Q617" s="69"/>
      <c r="R617" s="69"/>
      <c r="S617" s="69"/>
      <c r="T617" s="69"/>
      <c r="U617" s="69"/>
      <c r="V617" s="69"/>
      <c r="W617" s="69"/>
    </row>
    <row r="618" spans="1:23" ht="33.6" customHeight="1" x14ac:dyDescent="0.25">
      <c r="A618" s="118">
        <v>1017</v>
      </c>
      <c r="B618" s="85" t="s">
        <v>1111</v>
      </c>
      <c r="C618" s="85">
        <v>2010</v>
      </c>
      <c r="D618" s="166" t="s">
        <v>46</v>
      </c>
      <c r="E618" s="163">
        <v>2014</v>
      </c>
      <c r="F618" s="160" t="s">
        <v>101</v>
      </c>
      <c r="G618" s="77">
        <v>2445</v>
      </c>
      <c r="H618" s="77" t="s">
        <v>1112</v>
      </c>
      <c r="I618" s="141" t="s">
        <v>41</v>
      </c>
      <c r="J618" s="142">
        <v>505</v>
      </c>
      <c r="K618" s="143">
        <v>1418</v>
      </c>
      <c r="L618" s="153" t="s">
        <v>487</v>
      </c>
      <c r="M618" s="125"/>
      <c r="N618" s="168">
        <f>G618*L618</f>
        <v>445112.25</v>
      </c>
      <c r="O618" s="91">
        <v>41933</v>
      </c>
      <c r="P618" s="69"/>
      <c r="Q618" s="69"/>
      <c r="R618" s="69"/>
      <c r="S618" s="69"/>
      <c r="T618" s="69"/>
      <c r="U618" s="69"/>
      <c r="V618" s="69"/>
      <c r="W618" s="69"/>
    </row>
    <row r="619" spans="1:23" ht="54.6" customHeight="1" x14ac:dyDescent="0.25">
      <c r="A619" s="118"/>
      <c r="B619" s="85" t="s">
        <v>120</v>
      </c>
      <c r="C619" s="85">
        <v>2007</v>
      </c>
      <c r="D619" s="166" t="s">
        <v>46</v>
      </c>
      <c r="E619" s="163" t="s">
        <v>269</v>
      </c>
      <c r="F619" s="160" t="s">
        <v>241</v>
      </c>
      <c r="G619" s="77">
        <v>7994</v>
      </c>
      <c r="H619" s="77" t="s">
        <v>1113</v>
      </c>
      <c r="I619" s="141" t="s">
        <v>41</v>
      </c>
      <c r="J619" s="142">
        <v>506</v>
      </c>
      <c r="K619" s="143">
        <v>1419</v>
      </c>
      <c r="L619" s="153" t="s">
        <v>487</v>
      </c>
      <c r="M619" s="125"/>
      <c r="N619" s="168">
        <f>G619*L619</f>
        <v>1455307.7000000002</v>
      </c>
      <c r="O619" s="91">
        <v>41934</v>
      </c>
      <c r="P619" s="69"/>
      <c r="Q619" s="69"/>
      <c r="R619" s="69"/>
      <c r="S619" s="69"/>
      <c r="T619" s="69"/>
      <c r="U619" s="69"/>
      <c r="V619" s="69"/>
      <c r="W619" s="69"/>
    </row>
    <row r="620" spans="1:23" s="72" customFormat="1" ht="76.2" customHeight="1" x14ac:dyDescent="0.25">
      <c r="A620" s="118"/>
      <c r="B620" s="85" t="s">
        <v>222</v>
      </c>
      <c r="C620" s="85">
        <v>2011</v>
      </c>
      <c r="D620" s="160" t="s">
        <v>223</v>
      </c>
      <c r="E620" s="159" t="s">
        <v>1116</v>
      </c>
      <c r="F620" s="96" t="s">
        <v>1117</v>
      </c>
      <c r="G620" s="77">
        <f>N620/L620</f>
        <v>3820.4235085973351</v>
      </c>
      <c r="H620" s="77" t="s">
        <v>1118</v>
      </c>
      <c r="I620" s="141" t="s">
        <v>720</v>
      </c>
      <c r="J620" s="142">
        <v>507</v>
      </c>
      <c r="K620" s="143">
        <v>1420</v>
      </c>
      <c r="L620" s="153" t="s">
        <v>1115</v>
      </c>
      <c r="M620" s="147"/>
      <c r="N620" s="168">
        <v>691000</v>
      </c>
      <c r="O620" s="91">
        <v>41936</v>
      </c>
      <c r="P620" s="69"/>
      <c r="Q620" s="69"/>
      <c r="R620" s="69"/>
      <c r="S620" s="69"/>
      <c r="T620" s="69"/>
      <c r="U620" s="69"/>
      <c r="V620" s="69"/>
      <c r="W620" s="69"/>
    </row>
    <row r="621" spans="1:23" s="67" customFormat="1" ht="76.95" customHeight="1" x14ac:dyDescent="0.25">
      <c r="A621" s="118"/>
      <c r="B621" s="85" t="s">
        <v>111</v>
      </c>
      <c r="C621" s="85">
        <v>2006</v>
      </c>
      <c r="D621" s="160" t="s">
        <v>112</v>
      </c>
      <c r="E621" s="159" t="s">
        <v>301</v>
      </c>
      <c r="F621" s="129" t="s">
        <v>13</v>
      </c>
      <c r="G621" s="77">
        <f>N621/L621</f>
        <v>6708.5071487808909</v>
      </c>
      <c r="H621" s="77" t="s">
        <v>1302</v>
      </c>
      <c r="I621" s="141" t="s">
        <v>720</v>
      </c>
      <c r="J621" s="142">
        <v>508</v>
      </c>
      <c r="K621" s="143">
        <v>1421</v>
      </c>
      <c r="L621" s="153" t="s">
        <v>1115</v>
      </c>
      <c r="M621" s="153" t="s">
        <v>1114</v>
      </c>
      <c r="N621" s="168">
        <f>288074*M621</f>
        <v>1213367.6879999998</v>
      </c>
      <c r="O621" s="91">
        <v>41942</v>
      </c>
      <c r="P621" s="69"/>
      <c r="Q621" s="69"/>
      <c r="R621" s="69"/>
      <c r="S621" s="69"/>
      <c r="T621" s="69"/>
      <c r="U621" s="69"/>
      <c r="V621" s="69"/>
      <c r="W621" s="69"/>
    </row>
    <row r="622" spans="1:23" s="72" customFormat="1" ht="42" customHeight="1" x14ac:dyDescent="0.25">
      <c r="A622" s="118"/>
      <c r="B622" s="85" t="s">
        <v>21</v>
      </c>
      <c r="C622" s="85">
        <v>2010</v>
      </c>
      <c r="D622" s="158" t="s">
        <v>22</v>
      </c>
      <c r="E622" s="160" t="s">
        <v>272</v>
      </c>
      <c r="F622" s="160" t="s">
        <v>348</v>
      </c>
      <c r="G622" s="77">
        <f>N622/L622</f>
        <v>262.09211035550396</v>
      </c>
      <c r="H622" s="77" t="s">
        <v>1119</v>
      </c>
      <c r="I622" s="141" t="s">
        <v>720</v>
      </c>
      <c r="J622" s="142"/>
      <c r="K622" s="143"/>
      <c r="L622" s="153" t="s">
        <v>1115</v>
      </c>
      <c r="M622" s="153" t="s">
        <v>1120</v>
      </c>
      <c r="N622" s="168">
        <f>11260*M622</f>
        <v>47404.6</v>
      </c>
      <c r="O622" s="91">
        <v>41947</v>
      </c>
      <c r="P622" s="69"/>
      <c r="Q622" s="69"/>
      <c r="R622" s="69"/>
      <c r="S622" s="69"/>
      <c r="T622" s="69"/>
      <c r="U622" s="69"/>
      <c r="V622" s="69"/>
      <c r="W622" s="69"/>
    </row>
    <row r="623" spans="1:23" s="72" customFormat="1" ht="33" customHeight="1" x14ac:dyDescent="0.25">
      <c r="A623" s="118">
        <v>1018</v>
      </c>
      <c r="B623" s="85" t="s">
        <v>1121</v>
      </c>
      <c r="C623" s="85">
        <v>2011</v>
      </c>
      <c r="D623" s="160" t="s">
        <v>46</v>
      </c>
      <c r="E623" s="163">
        <v>2014</v>
      </c>
      <c r="F623" s="160" t="s">
        <v>534</v>
      </c>
      <c r="G623" s="77">
        <f>N623/L623</f>
        <v>2642.0762978935149</v>
      </c>
      <c r="H623" s="77" t="s">
        <v>1275</v>
      </c>
      <c r="I623" s="141" t="s">
        <v>720</v>
      </c>
      <c r="J623" s="142">
        <v>509</v>
      </c>
      <c r="K623" s="143">
        <v>1422</v>
      </c>
      <c r="L623" s="153" t="s">
        <v>1115</v>
      </c>
      <c r="M623" s="153" t="s">
        <v>1122</v>
      </c>
      <c r="N623" s="168">
        <f>15961*M623</f>
        <v>477872.34</v>
      </c>
      <c r="O623" s="91">
        <v>41948</v>
      </c>
      <c r="P623" s="69"/>
      <c r="Q623" s="69"/>
      <c r="R623" s="69"/>
      <c r="S623" s="69"/>
      <c r="T623" s="69"/>
      <c r="U623" s="69"/>
      <c r="V623" s="69"/>
      <c r="W623" s="69"/>
    </row>
    <row r="624" spans="1:23" s="72" customFormat="1" ht="39.6" customHeight="1" x14ac:dyDescent="0.25">
      <c r="A624" s="118"/>
      <c r="B624" s="85" t="s">
        <v>1001</v>
      </c>
      <c r="C624" s="85">
        <v>2013</v>
      </c>
      <c r="D624" s="160" t="s">
        <v>140</v>
      </c>
      <c r="E624" s="160" t="s">
        <v>272</v>
      </c>
      <c r="F624" s="160" t="s">
        <v>1002</v>
      </c>
      <c r="G624" s="77">
        <f>N624/L624</f>
        <v>2148.524134129485</v>
      </c>
      <c r="H624" s="77" t="s">
        <v>1123</v>
      </c>
      <c r="I624" s="141" t="s">
        <v>720</v>
      </c>
      <c r="J624" s="142"/>
      <c r="K624" s="143"/>
      <c r="L624" s="153" t="s">
        <v>1115</v>
      </c>
      <c r="M624" s="153" t="s">
        <v>1124</v>
      </c>
      <c r="N624" s="168">
        <f>94115.66*M624</f>
        <v>388603.56013999996</v>
      </c>
      <c r="O624" s="91">
        <v>41948</v>
      </c>
      <c r="P624" s="69"/>
      <c r="Q624" s="69"/>
      <c r="R624" s="69"/>
      <c r="S624" s="69"/>
      <c r="T624" s="69"/>
      <c r="U624" s="69"/>
      <c r="V624" s="69"/>
      <c r="W624" s="69"/>
    </row>
    <row r="625" spans="1:23" ht="51" customHeight="1" x14ac:dyDescent="0.25">
      <c r="A625" s="118"/>
      <c r="B625" s="85" t="s">
        <v>174</v>
      </c>
      <c r="C625" s="85">
        <v>2005</v>
      </c>
      <c r="D625" s="160" t="s">
        <v>46</v>
      </c>
      <c r="E625" s="163" t="s">
        <v>269</v>
      </c>
      <c r="F625" s="160" t="s">
        <v>156</v>
      </c>
      <c r="G625" s="77">
        <v>7998</v>
      </c>
      <c r="H625" s="77" t="s">
        <v>1174</v>
      </c>
      <c r="I625" s="141" t="s">
        <v>720</v>
      </c>
      <c r="J625" s="142">
        <v>510</v>
      </c>
      <c r="K625" s="143">
        <v>1423</v>
      </c>
      <c r="L625" s="153" t="s">
        <v>487</v>
      </c>
      <c r="M625" s="153"/>
      <c r="N625" s="168">
        <f>G625*L625</f>
        <v>1456035.9000000001</v>
      </c>
      <c r="O625" s="91">
        <v>41949</v>
      </c>
      <c r="P625" s="69"/>
      <c r="Q625" s="69"/>
      <c r="R625" s="69"/>
      <c r="S625" s="69"/>
      <c r="T625" s="69"/>
      <c r="U625" s="69"/>
      <c r="V625" s="69"/>
      <c r="W625" s="69"/>
    </row>
    <row r="626" spans="1:23" ht="76.95" customHeight="1" x14ac:dyDescent="0.25">
      <c r="A626" s="118"/>
      <c r="B626" s="85" t="s">
        <v>233</v>
      </c>
      <c r="C626" s="85">
        <v>2001</v>
      </c>
      <c r="D626" s="160" t="s">
        <v>234</v>
      </c>
      <c r="E626" s="163" t="s">
        <v>269</v>
      </c>
      <c r="F626" s="160" t="s">
        <v>42</v>
      </c>
      <c r="G626" s="77">
        <f>N626/L626</f>
        <v>474.52313816553323</v>
      </c>
      <c r="H626" s="77" t="s">
        <v>1125</v>
      </c>
      <c r="I626" s="141" t="s">
        <v>720</v>
      </c>
      <c r="J626" s="142">
        <v>511</v>
      </c>
      <c r="K626" s="143">
        <v>1424</v>
      </c>
      <c r="L626" s="153" t="s">
        <v>1115</v>
      </c>
      <c r="M626" s="153" t="s">
        <v>1126</v>
      </c>
      <c r="N626" s="168">
        <f>21000*M626</f>
        <v>85827</v>
      </c>
      <c r="O626" s="91">
        <v>41949</v>
      </c>
      <c r="P626" s="69"/>
      <c r="Q626" s="69"/>
      <c r="R626" s="69"/>
      <c r="S626" s="69"/>
      <c r="T626" s="69"/>
      <c r="U626" s="69"/>
      <c r="V626" s="69"/>
      <c r="W626" s="69"/>
    </row>
    <row r="627" spans="1:23" s="69" customFormat="1" ht="67.2" customHeight="1" x14ac:dyDescent="0.25">
      <c r="A627" s="118">
        <v>1019</v>
      </c>
      <c r="B627" s="85" t="s">
        <v>1127</v>
      </c>
      <c r="C627" s="85">
        <v>2010</v>
      </c>
      <c r="D627" s="160" t="s">
        <v>46</v>
      </c>
      <c r="E627" s="159">
        <v>2014</v>
      </c>
      <c r="F627" s="158" t="s">
        <v>85</v>
      </c>
      <c r="G627" s="77">
        <f>N627/L627</f>
        <v>2711.5607895173325</v>
      </c>
      <c r="H627" s="77" t="s">
        <v>1128</v>
      </c>
      <c r="I627" s="141" t="s">
        <v>1187</v>
      </c>
      <c r="J627" s="142">
        <v>512</v>
      </c>
      <c r="K627" s="143">
        <v>1425</v>
      </c>
      <c r="L627" s="153" t="s">
        <v>1115</v>
      </c>
      <c r="M627" s="153" t="s">
        <v>1126</v>
      </c>
      <c r="N627" s="168">
        <f>120000*M627</f>
        <v>490439.99999999994</v>
      </c>
      <c r="O627" s="91">
        <v>41949</v>
      </c>
    </row>
    <row r="628" spans="1:23" s="69" customFormat="1" ht="70.95" customHeight="1" x14ac:dyDescent="0.25">
      <c r="A628" s="118"/>
      <c r="B628" s="85" t="s">
        <v>159</v>
      </c>
      <c r="C628" s="85">
        <v>2010</v>
      </c>
      <c r="D628" s="160" t="s">
        <v>46</v>
      </c>
      <c r="E628" s="163" t="s">
        <v>383</v>
      </c>
      <c r="F628" s="158" t="s">
        <v>299</v>
      </c>
      <c r="G628" s="77">
        <f>N628/L628</f>
        <v>4579.6065682534409</v>
      </c>
      <c r="H628" s="77" t="s">
        <v>1129</v>
      </c>
      <c r="I628" s="141" t="s">
        <v>1187</v>
      </c>
      <c r="J628" s="142">
        <v>513</v>
      </c>
      <c r="K628" s="143">
        <v>1426</v>
      </c>
      <c r="L628" s="153" t="s">
        <v>1115</v>
      </c>
      <c r="M628" s="153" t="s">
        <v>1130</v>
      </c>
      <c r="N628" s="168">
        <f>207910*M628</f>
        <v>828313.44</v>
      </c>
      <c r="O628" s="91">
        <v>41955</v>
      </c>
    </row>
    <row r="629" spans="1:23" s="72" customFormat="1" ht="87.6" customHeight="1" x14ac:dyDescent="0.25">
      <c r="A629" s="118">
        <v>1020</v>
      </c>
      <c r="B629" s="85" t="s">
        <v>1132</v>
      </c>
      <c r="C629" s="85">
        <v>2008</v>
      </c>
      <c r="D629" s="160" t="s">
        <v>1133</v>
      </c>
      <c r="E629" s="159">
        <v>2014</v>
      </c>
      <c r="F629" s="160" t="s">
        <v>255</v>
      </c>
      <c r="G629" s="77">
        <v>1183.73</v>
      </c>
      <c r="H629" s="77" t="s">
        <v>1287</v>
      </c>
      <c r="I629" s="141" t="s">
        <v>720</v>
      </c>
      <c r="J629" s="142">
        <v>514</v>
      </c>
      <c r="K629" s="143">
        <v>1427</v>
      </c>
      <c r="L629" s="153" t="s">
        <v>1134</v>
      </c>
      <c r="M629" s="153"/>
      <c r="N629" s="168">
        <f>G629*L629</f>
        <v>215142.92749999999</v>
      </c>
      <c r="O629" s="91">
        <v>41962</v>
      </c>
      <c r="P629" s="69"/>
      <c r="Q629" s="69"/>
      <c r="R629" s="69"/>
      <c r="S629" s="69"/>
      <c r="T629" s="69"/>
      <c r="U629" s="69"/>
      <c r="V629" s="69"/>
      <c r="W629" s="69"/>
    </row>
    <row r="630" spans="1:23" ht="25.2" customHeight="1" x14ac:dyDescent="0.25">
      <c r="A630" s="220">
        <v>1021</v>
      </c>
      <c r="B630" s="191" t="s">
        <v>1135</v>
      </c>
      <c r="C630" s="191">
        <v>2013</v>
      </c>
      <c r="D630" s="191" t="s">
        <v>1136</v>
      </c>
      <c r="E630" s="257">
        <v>2014</v>
      </c>
      <c r="F630" s="259" t="s">
        <v>103</v>
      </c>
      <c r="G630" s="77">
        <f t="shared" ref="G630:G635" si="11">N630/L630</f>
        <v>4285.4861502736776</v>
      </c>
      <c r="H630" s="77" t="s">
        <v>1137</v>
      </c>
      <c r="I630" s="196" t="s">
        <v>720</v>
      </c>
      <c r="J630" s="199">
        <v>515</v>
      </c>
      <c r="K630" s="187">
        <v>1428</v>
      </c>
      <c r="L630" s="153" t="s">
        <v>1115</v>
      </c>
      <c r="M630" s="153" t="s">
        <v>1138</v>
      </c>
      <c r="N630" s="168">
        <f>3378*M630</f>
        <v>775115.88</v>
      </c>
      <c r="O630" s="91">
        <v>41963</v>
      </c>
      <c r="P630" s="69"/>
      <c r="Q630" s="69"/>
      <c r="R630" s="69"/>
      <c r="S630" s="69"/>
      <c r="T630" s="69"/>
      <c r="U630" s="69"/>
      <c r="V630" s="69"/>
      <c r="W630" s="69"/>
    </row>
    <row r="631" spans="1:23" ht="30" customHeight="1" x14ac:dyDescent="0.25">
      <c r="A631" s="221"/>
      <c r="B631" s="193"/>
      <c r="C631" s="193"/>
      <c r="D631" s="193"/>
      <c r="E631" s="258"/>
      <c r="F631" s="260"/>
      <c r="G631" s="77">
        <f t="shared" si="11"/>
        <v>4228.3258152264052</v>
      </c>
      <c r="H631" s="77" t="s">
        <v>1139</v>
      </c>
      <c r="I631" s="197"/>
      <c r="J631" s="201"/>
      <c r="K631" s="189"/>
      <c r="L631" s="153" t="s">
        <v>1115</v>
      </c>
      <c r="M631" s="153" t="s">
        <v>1140</v>
      </c>
      <c r="N631" s="168">
        <f>3378.29*M631</f>
        <v>764777.29019999993</v>
      </c>
      <c r="O631" s="91">
        <v>41967</v>
      </c>
      <c r="P631" s="69"/>
      <c r="Q631" s="69"/>
      <c r="R631" s="69"/>
      <c r="S631" s="69"/>
      <c r="T631" s="69"/>
      <c r="U631" s="69"/>
      <c r="V631" s="69"/>
      <c r="W631" s="69"/>
    </row>
    <row r="632" spans="1:23" ht="36" customHeight="1" x14ac:dyDescent="0.25">
      <c r="A632" s="118">
        <v>1022</v>
      </c>
      <c r="B632" s="85" t="s">
        <v>1141</v>
      </c>
      <c r="C632" s="85">
        <v>2008</v>
      </c>
      <c r="D632" s="160" t="s">
        <v>46</v>
      </c>
      <c r="E632" s="163">
        <v>2014</v>
      </c>
      <c r="F632" s="160" t="s">
        <v>534</v>
      </c>
      <c r="G632" s="77">
        <f t="shared" si="11"/>
        <v>4996.2902637253273</v>
      </c>
      <c r="H632" s="77" t="s">
        <v>1202</v>
      </c>
      <c r="I632" s="141" t="s">
        <v>41</v>
      </c>
      <c r="J632" s="142">
        <v>516</v>
      </c>
      <c r="K632" s="143">
        <v>1429</v>
      </c>
      <c r="L632" s="153" t="s">
        <v>1115</v>
      </c>
      <c r="M632" s="153" t="s">
        <v>1122</v>
      </c>
      <c r="N632" s="168">
        <f>30183*M632</f>
        <v>903679.02</v>
      </c>
      <c r="O632" s="91">
        <v>41967</v>
      </c>
      <c r="P632" s="69"/>
      <c r="Q632" s="69"/>
      <c r="R632" s="69"/>
      <c r="S632" s="69"/>
      <c r="T632" s="69"/>
      <c r="U632" s="69"/>
      <c r="V632" s="69"/>
      <c r="W632" s="69"/>
    </row>
    <row r="633" spans="1:23" ht="55.2" customHeight="1" x14ac:dyDescent="0.25">
      <c r="A633" s="118">
        <v>1023</v>
      </c>
      <c r="B633" s="85" t="s">
        <v>1142</v>
      </c>
      <c r="C633" s="85">
        <v>2010</v>
      </c>
      <c r="D633" s="160" t="s">
        <v>46</v>
      </c>
      <c r="E633" s="163">
        <v>2014</v>
      </c>
      <c r="F633" s="129" t="s">
        <v>53</v>
      </c>
      <c r="G633" s="77">
        <f>N633/L633</f>
        <v>1268.6305080997402</v>
      </c>
      <c r="H633" s="77" t="s">
        <v>1257</v>
      </c>
      <c r="I633" s="92" t="s">
        <v>720</v>
      </c>
      <c r="J633" s="142">
        <v>517</v>
      </c>
      <c r="K633" s="143">
        <v>1430</v>
      </c>
      <c r="L633" s="153" t="s">
        <v>1115</v>
      </c>
      <c r="M633" s="153" t="s">
        <v>1143</v>
      </c>
      <c r="N633" s="168">
        <f>56350*M633</f>
        <v>229457.2</v>
      </c>
      <c r="O633" s="91">
        <v>41967</v>
      </c>
      <c r="P633" s="69"/>
      <c r="Q633" s="69"/>
      <c r="R633" s="69"/>
      <c r="S633" s="69"/>
      <c r="T633" s="69"/>
      <c r="U633" s="69"/>
      <c r="V633" s="69"/>
      <c r="W633" s="69"/>
    </row>
    <row r="634" spans="1:23" ht="31.2" customHeight="1" x14ac:dyDescent="0.25">
      <c r="A634" s="220">
        <v>1024</v>
      </c>
      <c r="B634" s="191" t="s">
        <v>1144</v>
      </c>
      <c r="C634" s="191">
        <v>2013</v>
      </c>
      <c r="D634" s="191" t="s">
        <v>1145</v>
      </c>
      <c r="E634" s="257">
        <v>2014</v>
      </c>
      <c r="F634" s="191" t="s">
        <v>1151</v>
      </c>
      <c r="G634" s="77">
        <f t="shared" si="11"/>
        <v>2958.9490109890103</v>
      </c>
      <c r="H634" s="77" t="s">
        <v>1148</v>
      </c>
      <c r="I634" s="196" t="s">
        <v>720</v>
      </c>
      <c r="J634" s="199">
        <v>518</v>
      </c>
      <c r="K634" s="187">
        <v>1431</v>
      </c>
      <c r="L634" s="153" t="s">
        <v>1146</v>
      </c>
      <c r="M634" s="153" t="s">
        <v>1150</v>
      </c>
      <c r="N634" s="168">
        <f>2857.64*M634</f>
        <v>535836.0763999999</v>
      </c>
      <c r="O634" s="91">
        <v>41976</v>
      </c>
      <c r="P634" s="69"/>
      <c r="Q634" s="69"/>
      <c r="R634" s="69"/>
      <c r="S634" s="69"/>
      <c r="T634" s="69"/>
      <c r="U634" s="69"/>
      <c r="V634" s="69"/>
      <c r="W634" s="69"/>
    </row>
    <row r="635" spans="1:23" ht="26.4" customHeight="1" x14ac:dyDescent="0.25">
      <c r="A635" s="221"/>
      <c r="B635" s="193"/>
      <c r="C635" s="193"/>
      <c r="D635" s="193"/>
      <c r="E635" s="258"/>
      <c r="F635" s="218"/>
      <c r="G635" s="77">
        <f t="shared" si="11"/>
        <v>2953.2308158765154</v>
      </c>
      <c r="H635" s="77" t="s">
        <v>1147</v>
      </c>
      <c r="I635" s="197"/>
      <c r="J635" s="201"/>
      <c r="K635" s="189"/>
      <c r="L635" s="153" t="s">
        <v>1149</v>
      </c>
      <c r="M635" s="153" t="s">
        <v>1150</v>
      </c>
      <c r="N635" s="168">
        <f>2857*M635</f>
        <v>535716.06999999995</v>
      </c>
      <c r="O635" s="91">
        <v>41977</v>
      </c>
      <c r="P635" s="69"/>
      <c r="Q635" s="69"/>
      <c r="R635" s="69"/>
      <c r="S635" s="69"/>
      <c r="T635" s="69"/>
      <c r="U635" s="69"/>
      <c r="V635" s="69"/>
      <c r="W635" s="69"/>
    </row>
    <row r="636" spans="1:23" ht="56.4" customHeight="1" x14ac:dyDescent="0.25">
      <c r="A636" s="118"/>
      <c r="B636" s="85" t="s">
        <v>1152</v>
      </c>
      <c r="C636" s="85">
        <v>2002</v>
      </c>
      <c r="D636" s="160" t="s">
        <v>46</v>
      </c>
      <c r="E636" s="163" t="s">
        <v>272</v>
      </c>
      <c r="F636" s="160" t="s">
        <v>929</v>
      </c>
      <c r="G636" s="77">
        <f t="shared" ref="G636:G649" si="12">N636/L636</f>
        <v>3277.0979636763905</v>
      </c>
      <c r="H636" s="77" t="s">
        <v>930</v>
      </c>
      <c r="I636" s="141" t="s">
        <v>720</v>
      </c>
      <c r="J636" s="142"/>
      <c r="K636" s="143"/>
      <c r="L636" s="153" t="s">
        <v>1153</v>
      </c>
      <c r="M636" s="153" t="s">
        <v>1138</v>
      </c>
      <c r="N636" s="168">
        <f>2595*M636</f>
        <v>595448.70000000007</v>
      </c>
      <c r="O636" s="91">
        <v>41983</v>
      </c>
      <c r="P636" s="69"/>
      <c r="Q636" s="69"/>
      <c r="R636" s="69"/>
      <c r="S636" s="69"/>
      <c r="T636" s="69"/>
      <c r="U636" s="69"/>
      <c r="V636" s="69"/>
      <c r="W636" s="69"/>
    </row>
    <row r="637" spans="1:23" s="67" customFormat="1" ht="66.75" customHeight="1" x14ac:dyDescent="0.25">
      <c r="A637" s="118">
        <v>1025</v>
      </c>
      <c r="B637" s="85" t="s">
        <v>1154</v>
      </c>
      <c r="C637" s="85">
        <v>2009</v>
      </c>
      <c r="D637" s="158" t="s">
        <v>1155</v>
      </c>
      <c r="E637" s="163">
        <v>2014</v>
      </c>
      <c r="F637" s="166" t="s">
        <v>1009</v>
      </c>
      <c r="G637" s="77">
        <f>N637/L637</f>
        <v>2517.6329334067145</v>
      </c>
      <c r="H637" s="77" t="s">
        <v>1307</v>
      </c>
      <c r="I637" s="141" t="s">
        <v>720</v>
      </c>
      <c r="J637" s="142">
        <v>519</v>
      </c>
      <c r="K637" s="143">
        <v>1432</v>
      </c>
      <c r="L637" s="153" t="s">
        <v>1153</v>
      </c>
      <c r="M637" s="153" t="s">
        <v>1156</v>
      </c>
      <c r="N637" s="168">
        <f>141364*M637</f>
        <v>457453.90400000004</v>
      </c>
      <c r="O637" s="91">
        <v>41985</v>
      </c>
      <c r="P637" s="69"/>
      <c r="Q637" s="69"/>
      <c r="R637" s="69"/>
      <c r="S637" s="69"/>
      <c r="T637" s="69"/>
      <c r="U637" s="69"/>
      <c r="V637" s="69"/>
      <c r="W637" s="69"/>
    </row>
    <row r="638" spans="1:23" s="70" customFormat="1" ht="65.25" customHeight="1" x14ac:dyDescent="0.25">
      <c r="A638" s="118"/>
      <c r="B638" s="85" t="s">
        <v>995</v>
      </c>
      <c r="C638" s="85">
        <v>2013</v>
      </c>
      <c r="D638" s="160" t="s">
        <v>996</v>
      </c>
      <c r="E638" s="163" t="s">
        <v>272</v>
      </c>
      <c r="F638" s="166" t="s">
        <v>1009</v>
      </c>
      <c r="G638" s="77">
        <f>N638/L638</f>
        <v>329.65525591634565</v>
      </c>
      <c r="H638" s="77" t="s">
        <v>1308</v>
      </c>
      <c r="I638" s="141" t="s">
        <v>720</v>
      </c>
      <c r="J638" s="142"/>
      <c r="K638" s="143"/>
      <c r="L638" s="153" t="s">
        <v>1153</v>
      </c>
      <c r="M638" s="153" t="s">
        <v>1156</v>
      </c>
      <c r="N638" s="168">
        <f>18510*M638</f>
        <v>59898.36</v>
      </c>
      <c r="O638" s="91">
        <v>41985</v>
      </c>
      <c r="P638" s="69"/>
      <c r="Q638" s="69"/>
      <c r="R638" s="69"/>
      <c r="S638" s="69"/>
      <c r="T638" s="69"/>
      <c r="U638" s="69"/>
      <c r="V638" s="69"/>
      <c r="W638" s="69"/>
    </row>
    <row r="639" spans="1:23" s="72" customFormat="1" ht="33.6" customHeight="1" x14ac:dyDescent="0.25">
      <c r="A639" s="118"/>
      <c r="B639" s="85" t="s">
        <v>229</v>
      </c>
      <c r="C639" s="85">
        <v>2011</v>
      </c>
      <c r="D639" s="160" t="s">
        <v>329</v>
      </c>
      <c r="E639" s="163" t="s">
        <v>272</v>
      </c>
      <c r="F639" s="160" t="s">
        <v>330</v>
      </c>
      <c r="G639" s="77">
        <f t="shared" si="12"/>
        <v>445.96959823885533</v>
      </c>
      <c r="H639" s="77" t="s">
        <v>1157</v>
      </c>
      <c r="I639" s="141" t="s">
        <v>720</v>
      </c>
      <c r="J639" s="142"/>
      <c r="K639" s="143"/>
      <c r="L639" s="153" t="s">
        <v>1153</v>
      </c>
      <c r="M639" s="153" t="s">
        <v>1156</v>
      </c>
      <c r="N639" s="168">
        <f>25041*M639</f>
        <v>81032.676000000007</v>
      </c>
      <c r="O639" s="91">
        <v>41985</v>
      </c>
      <c r="P639" s="69"/>
      <c r="Q639" s="69"/>
      <c r="R639" s="69"/>
      <c r="S639" s="69"/>
      <c r="T639" s="69"/>
      <c r="U639" s="69"/>
      <c r="V639" s="69"/>
      <c r="W639" s="69"/>
    </row>
    <row r="640" spans="1:23" ht="34.950000000000003" customHeight="1" x14ac:dyDescent="0.25">
      <c r="A640" s="118">
        <v>1026</v>
      </c>
      <c r="B640" s="85" t="s">
        <v>1180</v>
      </c>
      <c r="C640" s="85">
        <v>2006</v>
      </c>
      <c r="D640" s="160" t="s">
        <v>46</v>
      </c>
      <c r="E640" s="163">
        <v>2014</v>
      </c>
      <c r="F640" s="93" t="s">
        <v>63</v>
      </c>
      <c r="G640" s="77">
        <f t="shared" si="12"/>
        <v>1910.9035979126613</v>
      </c>
      <c r="H640" s="77" t="s">
        <v>1181</v>
      </c>
      <c r="I640" s="141" t="s">
        <v>720</v>
      </c>
      <c r="J640" s="142">
        <v>520</v>
      </c>
      <c r="K640" s="143">
        <v>1433</v>
      </c>
      <c r="L640" s="153" t="s">
        <v>487</v>
      </c>
      <c r="M640" s="153"/>
      <c r="N640" s="168">
        <v>347880</v>
      </c>
      <c r="O640" s="91">
        <v>41992</v>
      </c>
      <c r="P640" s="69"/>
      <c r="Q640" s="69"/>
      <c r="R640" s="69"/>
      <c r="S640" s="69"/>
      <c r="T640" s="69"/>
      <c r="U640" s="69"/>
      <c r="V640" s="69"/>
      <c r="W640" s="69"/>
    </row>
    <row r="641" spans="1:23" ht="36.6" customHeight="1" x14ac:dyDescent="0.25">
      <c r="A641" s="118"/>
      <c r="B641" s="85" t="s">
        <v>121</v>
      </c>
      <c r="C641" s="85">
        <v>1999</v>
      </c>
      <c r="D641" s="160" t="s">
        <v>46</v>
      </c>
      <c r="E641" s="163" t="s">
        <v>269</v>
      </c>
      <c r="F641" s="93" t="s">
        <v>63</v>
      </c>
      <c r="G641" s="77">
        <f t="shared" si="12"/>
        <v>1934.6772864597638</v>
      </c>
      <c r="H641" s="77" t="s">
        <v>1182</v>
      </c>
      <c r="I641" s="141" t="s">
        <v>720</v>
      </c>
      <c r="J641" s="142">
        <v>521</v>
      </c>
      <c r="K641" s="143">
        <v>1434</v>
      </c>
      <c r="L641" s="153" t="s">
        <v>487</v>
      </c>
      <c r="M641" s="153"/>
      <c r="N641" s="168">
        <v>352208</v>
      </c>
      <c r="O641" s="91">
        <v>41992</v>
      </c>
      <c r="P641" s="69"/>
      <c r="Q641" s="69"/>
      <c r="R641" s="69"/>
      <c r="S641" s="69"/>
      <c r="T641" s="69"/>
      <c r="U641" s="69"/>
      <c r="V641" s="69"/>
      <c r="W641" s="69"/>
    </row>
    <row r="642" spans="1:23" ht="34.950000000000003" customHeight="1" x14ac:dyDescent="0.25">
      <c r="A642" s="118"/>
      <c r="B642" s="85" t="s">
        <v>215</v>
      </c>
      <c r="C642" s="85">
        <v>1997</v>
      </c>
      <c r="D642" s="160" t="s">
        <v>46</v>
      </c>
      <c r="E642" s="163" t="s">
        <v>269</v>
      </c>
      <c r="F642" s="93" t="s">
        <v>63</v>
      </c>
      <c r="G642" s="77">
        <f t="shared" si="12"/>
        <v>1927.2397692941499</v>
      </c>
      <c r="H642" s="77" t="s">
        <v>1183</v>
      </c>
      <c r="I642" s="141" t="s">
        <v>720</v>
      </c>
      <c r="J642" s="142">
        <v>522</v>
      </c>
      <c r="K642" s="143">
        <v>1435</v>
      </c>
      <c r="L642" s="153" t="s">
        <v>487</v>
      </c>
      <c r="M642" s="153"/>
      <c r="N642" s="168">
        <v>350854</v>
      </c>
      <c r="O642" s="91">
        <v>41992</v>
      </c>
      <c r="P642" s="69"/>
      <c r="Q642" s="69"/>
      <c r="R642" s="69"/>
      <c r="S642" s="69"/>
      <c r="T642" s="69"/>
      <c r="U642" s="69"/>
      <c r="V642" s="69"/>
      <c r="W642" s="69"/>
    </row>
    <row r="643" spans="1:23" ht="33.6" customHeight="1" x14ac:dyDescent="0.25">
      <c r="A643" s="118">
        <v>1027</v>
      </c>
      <c r="B643" s="85" t="s">
        <v>1184</v>
      </c>
      <c r="C643" s="85">
        <v>2008</v>
      </c>
      <c r="D643" s="160" t="s">
        <v>46</v>
      </c>
      <c r="E643" s="163">
        <v>2014</v>
      </c>
      <c r="F643" s="129" t="s">
        <v>63</v>
      </c>
      <c r="G643" s="77">
        <f t="shared" si="12"/>
        <v>1930.1675363911013</v>
      </c>
      <c r="H643" s="77" t="s">
        <v>1185</v>
      </c>
      <c r="I643" s="141" t="s">
        <v>720</v>
      </c>
      <c r="J643" s="142">
        <v>523</v>
      </c>
      <c r="K643" s="143">
        <v>1436</v>
      </c>
      <c r="L643" s="153" t="s">
        <v>487</v>
      </c>
      <c r="M643" s="153"/>
      <c r="N643" s="168">
        <v>351387</v>
      </c>
      <c r="O643" s="91">
        <v>41992</v>
      </c>
      <c r="P643" s="69"/>
      <c r="Q643" s="69"/>
      <c r="R643" s="69"/>
      <c r="S643" s="69"/>
      <c r="T643" s="69"/>
      <c r="U643" s="69"/>
      <c r="V643" s="69"/>
      <c r="W643" s="69"/>
    </row>
    <row r="644" spans="1:23" s="67" customFormat="1" ht="42" customHeight="1" x14ac:dyDescent="0.25">
      <c r="A644" s="118"/>
      <c r="B644" s="85" t="s">
        <v>82</v>
      </c>
      <c r="C644" s="85">
        <v>2009</v>
      </c>
      <c r="D644" s="160" t="s">
        <v>46</v>
      </c>
      <c r="E644" s="163" t="s">
        <v>473</v>
      </c>
      <c r="F644" s="160" t="s">
        <v>1192</v>
      </c>
      <c r="G644" s="77">
        <v>5790</v>
      </c>
      <c r="H644" s="77" t="s">
        <v>1329</v>
      </c>
      <c r="I644" s="141" t="s">
        <v>41</v>
      </c>
      <c r="J644" s="142">
        <v>524</v>
      </c>
      <c r="K644" s="143">
        <v>1437</v>
      </c>
      <c r="L644" s="153" t="s">
        <v>1330</v>
      </c>
      <c r="M644" s="153"/>
      <c r="N644" s="168">
        <f>G644*L644</f>
        <v>1053780</v>
      </c>
      <c r="O644" s="91">
        <v>41993</v>
      </c>
      <c r="P644" s="69"/>
      <c r="Q644" s="69"/>
      <c r="R644" s="69"/>
      <c r="S644" s="69"/>
      <c r="T644" s="69"/>
      <c r="U644" s="69"/>
      <c r="V644" s="69"/>
      <c r="W644" s="69"/>
    </row>
    <row r="645" spans="1:23" ht="42" customHeight="1" x14ac:dyDescent="0.25">
      <c r="A645" s="118">
        <v>1028</v>
      </c>
      <c r="B645" s="85" t="s">
        <v>1158</v>
      </c>
      <c r="C645" s="85">
        <v>2010</v>
      </c>
      <c r="D645" s="160" t="s">
        <v>46</v>
      </c>
      <c r="E645" s="163">
        <v>2014</v>
      </c>
      <c r="F645" s="158" t="s">
        <v>1159</v>
      </c>
      <c r="G645" s="77">
        <f t="shared" si="12"/>
        <v>2513.4821967410981</v>
      </c>
      <c r="H645" s="77" t="s">
        <v>1203</v>
      </c>
      <c r="I645" s="141" t="s">
        <v>720</v>
      </c>
      <c r="J645" s="142">
        <v>525</v>
      </c>
      <c r="K645" s="143">
        <v>1438</v>
      </c>
      <c r="L645" s="153" t="s">
        <v>1160</v>
      </c>
      <c r="M645" s="153" t="s">
        <v>1161</v>
      </c>
      <c r="N645" s="168">
        <f>2012*M645</f>
        <v>458132.39999999997</v>
      </c>
      <c r="O645" s="91">
        <v>41998</v>
      </c>
      <c r="P645" s="69"/>
      <c r="Q645" s="69"/>
      <c r="R645" s="69"/>
      <c r="S645" s="69"/>
      <c r="T645" s="69"/>
      <c r="U645" s="69"/>
      <c r="V645" s="69"/>
      <c r="W645" s="69"/>
    </row>
    <row r="646" spans="1:23" ht="31.2" customHeight="1" x14ac:dyDescent="0.25">
      <c r="A646" s="118">
        <v>1029</v>
      </c>
      <c r="B646" s="85" t="s">
        <v>1162</v>
      </c>
      <c r="C646" s="85">
        <v>2013</v>
      </c>
      <c r="D646" s="160" t="s">
        <v>1136</v>
      </c>
      <c r="E646" s="163">
        <v>2014</v>
      </c>
      <c r="F646" s="158" t="s">
        <v>1163</v>
      </c>
      <c r="G646" s="77">
        <f t="shared" si="12"/>
        <v>8740.8829174664115</v>
      </c>
      <c r="H646" s="77" t="s">
        <v>1164</v>
      </c>
      <c r="I646" s="141" t="s">
        <v>720</v>
      </c>
      <c r="J646" s="142">
        <v>526</v>
      </c>
      <c r="K646" s="143">
        <v>1439</v>
      </c>
      <c r="L646" s="153" t="s">
        <v>1061</v>
      </c>
      <c r="M646" s="153" t="s">
        <v>1161</v>
      </c>
      <c r="N646" s="168">
        <f>7000*M646</f>
        <v>1593900</v>
      </c>
      <c r="O646" s="91">
        <v>42002</v>
      </c>
      <c r="P646" s="69"/>
      <c r="Q646" s="69"/>
      <c r="R646" s="69"/>
      <c r="S646" s="69"/>
      <c r="T646" s="69"/>
      <c r="U646" s="69"/>
      <c r="V646" s="69"/>
      <c r="W646" s="69"/>
    </row>
    <row r="647" spans="1:23" ht="87.6" customHeight="1" x14ac:dyDescent="0.25">
      <c r="A647" s="118"/>
      <c r="B647" s="85" t="s">
        <v>164</v>
      </c>
      <c r="C647" s="85">
        <v>2007</v>
      </c>
      <c r="D647" s="160" t="s">
        <v>46</v>
      </c>
      <c r="E647" s="163" t="s">
        <v>272</v>
      </c>
      <c r="F647" s="160" t="s">
        <v>165</v>
      </c>
      <c r="G647" s="77">
        <f t="shared" si="12"/>
        <v>1272.0751302440362</v>
      </c>
      <c r="H647" s="77" t="s">
        <v>1201</v>
      </c>
      <c r="I647" s="141" t="s">
        <v>41</v>
      </c>
      <c r="J647" s="142"/>
      <c r="K647" s="143"/>
      <c r="L647" s="153" t="s">
        <v>1061</v>
      </c>
      <c r="M647" s="153" t="s">
        <v>1176</v>
      </c>
      <c r="N647" s="168">
        <f>70850*M647</f>
        <v>231962.9</v>
      </c>
      <c r="O647" s="91">
        <v>42003</v>
      </c>
      <c r="P647" s="69"/>
      <c r="Q647" s="69"/>
      <c r="R647" s="69"/>
      <c r="S647" s="69"/>
      <c r="T647" s="69"/>
      <c r="U647" s="69"/>
      <c r="V647" s="69"/>
      <c r="W647" s="69"/>
    </row>
    <row r="648" spans="1:23" ht="42" customHeight="1" x14ac:dyDescent="0.25">
      <c r="A648" s="118">
        <v>1030</v>
      </c>
      <c r="B648" s="85" t="s">
        <v>1165</v>
      </c>
      <c r="C648" s="85">
        <v>2010</v>
      </c>
      <c r="D648" s="160" t="s">
        <v>46</v>
      </c>
      <c r="E648" s="163">
        <v>2014</v>
      </c>
      <c r="F648" s="158" t="s">
        <v>266</v>
      </c>
      <c r="G648" s="77">
        <f t="shared" si="12"/>
        <v>2605.1955031532771</v>
      </c>
      <c r="H648" s="77" t="s">
        <v>1200</v>
      </c>
      <c r="I648" s="141" t="s">
        <v>41</v>
      </c>
      <c r="J648" s="142">
        <v>527</v>
      </c>
      <c r="K648" s="143">
        <v>1440</v>
      </c>
      <c r="L648" s="153" t="s">
        <v>1061</v>
      </c>
      <c r="M648" s="153" t="s">
        <v>1176</v>
      </c>
      <c r="N648" s="168">
        <f>145100*M648</f>
        <v>475057.4</v>
      </c>
      <c r="O648" s="91">
        <v>42003</v>
      </c>
      <c r="P648" s="69"/>
      <c r="Q648" s="69"/>
      <c r="R648" s="69"/>
      <c r="S648" s="69"/>
      <c r="T648" s="69"/>
      <c r="U648" s="69"/>
      <c r="V648" s="69"/>
      <c r="W648" s="69"/>
    </row>
    <row r="649" spans="1:23" ht="34.950000000000003" customHeight="1" x14ac:dyDescent="0.25">
      <c r="A649" s="118">
        <v>1031</v>
      </c>
      <c r="B649" s="85" t="s">
        <v>1166</v>
      </c>
      <c r="C649" s="85">
        <v>2009</v>
      </c>
      <c r="D649" s="160" t="s">
        <v>46</v>
      </c>
      <c r="E649" s="163">
        <v>2014</v>
      </c>
      <c r="F649" s="160" t="s">
        <v>717</v>
      </c>
      <c r="G649" s="77">
        <f t="shared" si="12"/>
        <v>1256.8138195777351</v>
      </c>
      <c r="H649" s="77" t="s">
        <v>1167</v>
      </c>
      <c r="I649" s="141" t="s">
        <v>41</v>
      </c>
      <c r="J649" s="142">
        <v>528</v>
      </c>
      <c r="K649" s="143">
        <v>1441</v>
      </c>
      <c r="L649" s="153" t="s">
        <v>1061</v>
      </c>
      <c r="M649" s="153" t="s">
        <v>1176</v>
      </c>
      <c r="N649" s="168">
        <f>70000*M649</f>
        <v>229180</v>
      </c>
      <c r="O649" s="91">
        <v>42003</v>
      </c>
      <c r="P649" s="69"/>
      <c r="Q649" s="69"/>
      <c r="R649" s="69"/>
      <c r="S649" s="69"/>
      <c r="T649" s="69"/>
      <c r="U649" s="69"/>
      <c r="V649" s="69"/>
      <c r="W649" s="69"/>
    </row>
    <row r="650" spans="1:23" ht="55.95" customHeight="1" x14ac:dyDescent="0.25">
      <c r="A650" s="118"/>
      <c r="B650" s="85" t="s">
        <v>190</v>
      </c>
      <c r="C650" s="85">
        <v>2008</v>
      </c>
      <c r="D650" s="160" t="s">
        <v>46</v>
      </c>
      <c r="E650" s="163" t="s">
        <v>383</v>
      </c>
      <c r="F650" s="160" t="s">
        <v>156</v>
      </c>
      <c r="G650" s="77">
        <v>7992</v>
      </c>
      <c r="H650" s="77" t="s">
        <v>1168</v>
      </c>
      <c r="I650" s="141" t="s">
        <v>41</v>
      </c>
      <c r="J650" s="142">
        <v>529</v>
      </c>
      <c r="K650" s="143">
        <v>1442</v>
      </c>
      <c r="L650" s="153" t="s">
        <v>1169</v>
      </c>
      <c r="M650" s="153"/>
      <c r="N650" s="168">
        <f t="shared" ref="N650:N655" si="13">G650*L650</f>
        <v>1466132.4</v>
      </c>
      <c r="O650" s="91">
        <v>42003</v>
      </c>
      <c r="P650" s="69"/>
      <c r="Q650" s="69"/>
      <c r="R650" s="69"/>
      <c r="S650" s="69"/>
      <c r="T650" s="69"/>
      <c r="U650" s="69"/>
      <c r="V650" s="69"/>
      <c r="W650" s="69"/>
    </row>
    <row r="651" spans="1:23" ht="33.6" customHeight="1" x14ac:dyDescent="0.25">
      <c r="A651" s="118"/>
      <c r="B651" s="85" t="s">
        <v>145</v>
      </c>
      <c r="C651" s="85">
        <v>2008</v>
      </c>
      <c r="D651" s="160" t="s">
        <v>46</v>
      </c>
      <c r="E651" s="163" t="s">
        <v>269</v>
      </c>
      <c r="F651" s="160" t="s">
        <v>240</v>
      </c>
      <c r="G651" s="77">
        <v>5800</v>
      </c>
      <c r="H651" s="77" t="s">
        <v>911</v>
      </c>
      <c r="I651" s="141" t="s">
        <v>41</v>
      </c>
      <c r="J651" s="142">
        <v>530</v>
      </c>
      <c r="K651" s="143">
        <v>1443</v>
      </c>
      <c r="L651" s="153" t="s">
        <v>1169</v>
      </c>
      <c r="M651" s="153"/>
      <c r="N651" s="168">
        <f t="shared" si="13"/>
        <v>1064010</v>
      </c>
      <c r="O651" s="91">
        <v>42003</v>
      </c>
      <c r="P651" s="69"/>
      <c r="Q651" s="69"/>
      <c r="R651" s="69"/>
      <c r="S651" s="69"/>
      <c r="T651" s="69"/>
      <c r="U651" s="69"/>
      <c r="V651" s="69"/>
      <c r="W651" s="69"/>
    </row>
    <row r="652" spans="1:23" ht="32.4" customHeight="1" x14ac:dyDescent="0.25">
      <c r="A652" s="118"/>
      <c r="B652" s="85" t="s">
        <v>310</v>
      </c>
      <c r="C652" s="85">
        <v>2007</v>
      </c>
      <c r="D652" s="160" t="s">
        <v>46</v>
      </c>
      <c r="E652" s="163" t="s">
        <v>269</v>
      </c>
      <c r="F652" s="160" t="s">
        <v>323</v>
      </c>
      <c r="G652" s="77">
        <v>7984</v>
      </c>
      <c r="H652" s="77" t="s">
        <v>1170</v>
      </c>
      <c r="I652" s="141" t="s">
        <v>41</v>
      </c>
      <c r="J652" s="142">
        <v>531</v>
      </c>
      <c r="K652" s="143">
        <v>1444</v>
      </c>
      <c r="L652" s="153" t="s">
        <v>1169</v>
      </c>
      <c r="M652" s="153"/>
      <c r="N652" s="168">
        <f t="shared" si="13"/>
        <v>1464664.7999999998</v>
      </c>
      <c r="O652" s="91">
        <v>42003</v>
      </c>
      <c r="P652" s="69"/>
      <c r="Q652" s="69"/>
      <c r="R652" s="69"/>
      <c r="S652" s="69"/>
      <c r="T652" s="69"/>
      <c r="U652" s="69"/>
      <c r="V652" s="69"/>
      <c r="W652" s="69"/>
    </row>
    <row r="653" spans="1:23" ht="35.4" customHeight="1" x14ac:dyDescent="0.25">
      <c r="A653" s="118">
        <v>1032</v>
      </c>
      <c r="B653" s="85" t="s">
        <v>1171</v>
      </c>
      <c r="C653" s="85">
        <v>2002</v>
      </c>
      <c r="D653" s="160" t="s">
        <v>46</v>
      </c>
      <c r="E653" s="163">
        <v>2014</v>
      </c>
      <c r="F653" s="160" t="s">
        <v>323</v>
      </c>
      <c r="G653" s="77">
        <v>7975</v>
      </c>
      <c r="H653" s="77" t="s">
        <v>982</v>
      </c>
      <c r="I653" s="141" t="s">
        <v>41</v>
      </c>
      <c r="J653" s="142">
        <v>532</v>
      </c>
      <c r="K653" s="143">
        <v>1445</v>
      </c>
      <c r="L653" s="153" t="s">
        <v>1169</v>
      </c>
      <c r="M653" s="153"/>
      <c r="N653" s="168">
        <f t="shared" si="13"/>
        <v>1463013.75</v>
      </c>
      <c r="O653" s="91">
        <v>42003</v>
      </c>
      <c r="P653" s="69"/>
      <c r="Q653" s="69"/>
      <c r="R653" s="69"/>
      <c r="S653" s="69"/>
      <c r="T653" s="69"/>
      <c r="U653" s="69"/>
      <c r="V653" s="69"/>
      <c r="W653" s="69"/>
    </row>
    <row r="654" spans="1:23" ht="52.2" customHeight="1" x14ac:dyDescent="0.25">
      <c r="A654" s="118">
        <v>1033</v>
      </c>
      <c r="B654" s="85" t="s">
        <v>1172</v>
      </c>
      <c r="C654" s="85">
        <v>2004</v>
      </c>
      <c r="D654" s="160" t="s">
        <v>46</v>
      </c>
      <c r="E654" s="163">
        <v>2014</v>
      </c>
      <c r="F654" s="160" t="s">
        <v>156</v>
      </c>
      <c r="G654" s="77">
        <v>7987</v>
      </c>
      <c r="H654" s="77" t="s">
        <v>1173</v>
      </c>
      <c r="I654" s="141" t="s">
        <v>41</v>
      </c>
      <c r="J654" s="142">
        <v>533</v>
      </c>
      <c r="K654" s="143">
        <v>1446</v>
      </c>
      <c r="L654" s="153" t="s">
        <v>1169</v>
      </c>
      <c r="M654" s="153"/>
      <c r="N654" s="168">
        <f t="shared" si="13"/>
        <v>1465215.15</v>
      </c>
      <c r="O654" s="91">
        <v>42003</v>
      </c>
      <c r="P654" s="69"/>
      <c r="Q654" s="69"/>
      <c r="R654" s="69"/>
      <c r="S654" s="69"/>
      <c r="T654" s="69"/>
      <c r="U654" s="69"/>
      <c r="V654" s="69"/>
      <c r="W654" s="69"/>
    </row>
    <row r="655" spans="1:23" ht="55.2" customHeight="1" x14ac:dyDescent="0.25">
      <c r="A655" s="118"/>
      <c r="B655" s="85" t="s">
        <v>237</v>
      </c>
      <c r="C655" s="85">
        <v>2013</v>
      </c>
      <c r="D655" s="160" t="s">
        <v>46</v>
      </c>
      <c r="E655" s="163" t="s">
        <v>269</v>
      </c>
      <c r="F655" s="160" t="s">
        <v>156</v>
      </c>
      <c r="G655" s="77">
        <v>7998</v>
      </c>
      <c r="H655" s="77" t="s">
        <v>1174</v>
      </c>
      <c r="I655" s="141" t="s">
        <v>41</v>
      </c>
      <c r="J655" s="142">
        <v>534</v>
      </c>
      <c r="K655" s="143">
        <v>1447</v>
      </c>
      <c r="L655" s="153" t="s">
        <v>1169</v>
      </c>
      <c r="M655" s="153"/>
      <c r="N655" s="168">
        <f t="shared" si="13"/>
        <v>1467233.0999999999</v>
      </c>
      <c r="O655" s="91">
        <v>42003</v>
      </c>
      <c r="P655" s="69"/>
      <c r="Q655" s="69"/>
      <c r="R655" s="69"/>
      <c r="S655" s="69"/>
      <c r="T655" s="69"/>
      <c r="U655" s="69"/>
      <c r="V655" s="69"/>
      <c r="W655" s="69"/>
    </row>
    <row r="656" spans="1:23" ht="43.2" customHeight="1" x14ac:dyDescent="0.25">
      <c r="A656" s="118">
        <v>1034</v>
      </c>
      <c r="B656" s="85" t="s">
        <v>1175</v>
      </c>
      <c r="C656" s="85">
        <v>2013</v>
      </c>
      <c r="D656" s="160" t="s">
        <v>46</v>
      </c>
      <c r="E656" s="163">
        <v>2014</v>
      </c>
      <c r="F656" s="158" t="s">
        <v>266</v>
      </c>
      <c r="G656" s="77">
        <f t="shared" ref="G656:G661" si="14">N656/L656</f>
        <v>2139.2766657526736</v>
      </c>
      <c r="H656" s="77" t="s">
        <v>1252</v>
      </c>
      <c r="I656" s="141" t="s">
        <v>41</v>
      </c>
      <c r="J656" s="142">
        <v>535</v>
      </c>
      <c r="K656" s="143">
        <v>1448</v>
      </c>
      <c r="L656" s="153" t="s">
        <v>1061</v>
      </c>
      <c r="M656" s="153" t="s">
        <v>1176</v>
      </c>
      <c r="N656" s="168">
        <f>119150*M656</f>
        <v>390097.1</v>
      </c>
      <c r="O656" s="91">
        <v>42003</v>
      </c>
      <c r="P656" s="69"/>
      <c r="Q656" s="69"/>
      <c r="R656" s="69"/>
      <c r="S656" s="69"/>
      <c r="T656" s="69"/>
      <c r="U656" s="69"/>
      <c r="V656" s="69"/>
      <c r="W656" s="69"/>
    </row>
    <row r="657" spans="1:23" ht="42" customHeight="1" x14ac:dyDescent="0.25">
      <c r="A657" s="118">
        <v>1035</v>
      </c>
      <c r="B657" s="85" t="s">
        <v>1177</v>
      </c>
      <c r="C657" s="85">
        <v>2001</v>
      </c>
      <c r="D657" s="160" t="s">
        <v>46</v>
      </c>
      <c r="E657" s="163">
        <v>2014</v>
      </c>
      <c r="F657" s="158" t="s">
        <v>266</v>
      </c>
      <c r="G657" s="77">
        <f t="shared" si="14"/>
        <v>2993.9100630655334</v>
      </c>
      <c r="H657" s="77" t="s">
        <v>1178</v>
      </c>
      <c r="I657" s="141" t="s">
        <v>41</v>
      </c>
      <c r="J657" s="142">
        <v>536</v>
      </c>
      <c r="K657" s="143">
        <v>1449</v>
      </c>
      <c r="L657" s="153" t="s">
        <v>1061</v>
      </c>
      <c r="M657" s="153" t="s">
        <v>1176</v>
      </c>
      <c r="N657" s="168">
        <f>166750*M657</f>
        <v>545939.5</v>
      </c>
      <c r="O657" s="91">
        <v>42003</v>
      </c>
      <c r="P657" s="69"/>
      <c r="Q657" s="69"/>
      <c r="R657" s="69"/>
      <c r="S657" s="69"/>
      <c r="T657" s="69"/>
      <c r="U657" s="69"/>
      <c r="V657" s="69"/>
      <c r="W657" s="69"/>
    </row>
    <row r="658" spans="1:23" ht="54" customHeight="1" x14ac:dyDescent="0.25">
      <c r="A658" s="118"/>
      <c r="B658" s="85" t="s">
        <v>56</v>
      </c>
      <c r="C658" s="85">
        <v>2009</v>
      </c>
      <c r="D658" s="160" t="s">
        <v>46</v>
      </c>
      <c r="E658" s="163" t="s">
        <v>294</v>
      </c>
      <c r="F658" s="129" t="s">
        <v>55</v>
      </c>
      <c r="G658" s="77">
        <f t="shared" si="14"/>
        <v>2244.3103921030984</v>
      </c>
      <c r="H658" s="77" t="s">
        <v>1179</v>
      </c>
      <c r="I658" s="141" t="s">
        <v>41</v>
      </c>
      <c r="J658" s="142">
        <v>537</v>
      </c>
      <c r="K658" s="143">
        <v>1450</v>
      </c>
      <c r="L658" s="153" t="s">
        <v>1061</v>
      </c>
      <c r="M658" s="153" t="s">
        <v>1176</v>
      </c>
      <c r="N658" s="168">
        <f>125000*M658</f>
        <v>409250</v>
      </c>
      <c r="O658" s="91">
        <v>42003</v>
      </c>
      <c r="P658" s="69"/>
      <c r="Q658" s="69"/>
      <c r="R658" s="69"/>
      <c r="S658" s="69"/>
      <c r="T658" s="69"/>
      <c r="U658" s="69"/>
      <c r="V658" s="69"/>
      <c r="W658" s="69"/>
    </row>
    <row r="659" spans="1:23" ht="54.6" customHeight="1" x14ac:dyDescent="0.25">
      <c r="A659" s="118"/>
      <c r="B659" s="85" t="s">
        <v>54</v>
      </c>
      <c r="C659" s="85">
        <v>2008</v>
      </c>
      <c r="D659" s="160" t="s">
        <v>46</v>
      </c>
      <c r="E659" s="163" t="s">
        <v>294</v>
      </c>
      <c r="F659" s="129" t="s">
        <v>55</v>
      </c>
      <c r="G659" s="77">
        <f t="shared" si="14"/>
        <v>2244.3103921030984</v>
      </c>
      <c r="H659" s="77" t="s">
        <v>1179</v>
      </c>
      <c r="I659" s="141" t="s">
        <v>41</v>
      </c>
      <c r="J659" s="142">
        <v>538</v>
      </c>
      <c r="K659" s="143">
        <v>1451</v>
      </c>
      <c r="L659" s="153" t="s">
        <v>1061</v>
      </c>
      <c r="M659" s="153" t="s">
        <v>1176</v>
      </c>
      <c r="N659" s="168">
        <f>125000*M659</f>
        <v>409250</v>
      </c>
      <c r="O659" s="91">
        <v>42003</v>
      </c>
      <c r="P659" s="69"/>
      <c r="Q659" s="69"/>
      <c r="R659" s="69"/>
      <c r="S659" s="69"/>
      <c r="T659" s="69"/>
      <c r="U659" s="69"/>
      <c r="V659" s="69"/>
      <c r="W659" s="69"/>
    </row>
    <row r="660" spans="1:23" ht="33" customHeight="1" x14ac:dyDescent="0.25">
      <c r="A660" s="118"/>
      <c r="B660" s="85" t="s">
        <v>157</v>
      </c>
      <c r="C660" s="85">
        <v>2009</v>
      </c>
      <c r="D660" s="160" t="s">
        <v>46</v>
      </c>
      <c r="E660" s="163" t="s">
        <v>383</v>
      </c>
      <c r="F660" s="93" t="s">
        <v>63</v>
      </c>
      <c r="G660" s="77">
        <f t="shared" si="14"/>
        <v>1927.0304359747738</v>
      </c>
      <c r="H660" s="77" t="s">
        <v>128</v>
      </c>
      <c r="I660" s="141" t="s">
        <v>41</v>
      </c>
      <c r="J660" s="142">
        <v>539</v>
      </c>
      <c r="K660" s="143">
        <v>1452</v>
      </c>
      <c r="L660" s="153" t="s">
        <v>1061</v>
      </c>
      <c r="M660" s="153"/>
      <c r="N660" s="168">
        <v>351394</v>
      </c>
      <c r="O660" s="91">
        <v>42003</v>
      </c>
      <c r="P660" s="69"/>
      <c r="Q660" s="69"/>
      <c r="R660" s="69"/>
      <c r="S660" s="69"/>
      <c r="T660" s="69"/>
      <c r="U660" s="69"/>
      <c r="V660" s="69"/>
      <c r="W660" s="69"/>
    </row>
    <row r="661" spans="1:23" ht="37.200000000000003" customHeight="1" x14ac:dyDescent="0.25">
      <c r="A661" s="118"/>
      <c r="B661" s="85" t="s">
        <v>158</v>
      </c>
      <c r="C661" s="85">
        <v>2009</v>
      </c>
      <c r="D661" s="160" t="s">
        <v>46</v>
      </c>
      <c r="E661" s="163" t="s">
        <v>383</v>
      </c>
      <c r="F661" s="93" t="s">
        <v>63</v>
      </c>
      <c r="G661" s="77">
        <f t="shared" si="14"/>
        <v>1923.6303811351797</v>
      </c>
      <c r="H661" s="77" t="s">
        <v>129</v>
      </c>
      <c r="I661" s="141" t="s">
        <v>41</v>
      </c>
      <c r="J661" s="142">
        <v>540</v>
      </c>
      <c r="K661" s="143">
        <v>1453</v>
      </c>
      <c r="L661" s="153" t="s">
        <v>1061</v>
      </c>
      <c r="M661" s="153"/>
      <c r="N661" s="168">
        <v>350774</v>
      </c>
      <c r="O661" s="91">
        <v>42003</v>
      </c>
      <c r="P661" s="69"/>
      <c r="Q661" s="69"/>
      <c r="R661" s="69"/>
      <c r="S661" s="69"/>
      <c r="T661" s="69"/>
      <c r="U661" s="69"/>
      <c r="V661" s="69"/>
      <c r="W661" s="69"/>
    </row>
    <row r="662" spans="1:23" s="23" customFormat="1" ht="24" x14ac:dyDescent="0.25">
      <c r="A662" s="49"/>
      <c r="B662" s="50" t="s">
        <v>270</v>
      </c>
      <c r="C662" s="51"/>
      <c r="D662" s="51"/>
      <c r="E662" s="52"/>
      <c r="F662" s="52"/>
      <c r="G662" s="53">
        <f>SUM(G24:G661)</f>
        <v>3250982.9121927908</v>
      </c>
      <c r="H662" s="54" t="s">
        <v>137</v>
      </c>
      <c r="I662" s="63"/>
      <c r="J662" s="55"/>
      <c r="K662" s="56"/>
      <c r="L662" s="56"/>
      <c r="M662" s="57"/>
      <c r="N662" s="65">
        <f>SUM(N24:N661)</f>
        <v>587924651.12340009</v>
      </c>
      <c r="O662" s="57"/>
      <c r="P662" s="73"/>
      <c r="Q662" s="73"/>
      <c r="R662" s="73"/>
      <c r="S662" s="73"/>
      <c r="T662" s="73"/>
      <c r="U662" s="73"/>
      <c r="V662" s="73"/>
      <c r="W662" s="73"/>
    </row>
    <row r="663" spans="1:23" x14ac:dyDescent="0.25">
      <c r="F663" s="62"/>
    </row>
    <row r="664" spans="1:23" x14ac:dyDescent="0.25">
      <c r="F664" s="66"/>
    </row>
  </sheetData>
  <sheetProtection password="81D3" sheet="1" objects="1" scenarios="1" selectLockedCells="1" selectUnlockedCells="1"/>
  <autoFilter ref="A22:Q661"/>
  <mergeCells count="328">
    <mergeCell ref="L570:L573"/>
    <mergeCell ref="M570:M573"/>
    <mergeCell ref="N570:N573"/>
    <mergeCell ref="O570:O573"/>
    <mergeCell ref="I559:I562"/>
    <mergeCell ref="J559:J562"/>
    <mergeCell ref="K555:K556"/>
    <mergeCell ref="I541:I542"/>
    <mergeCell ref="J541:J542"/>
    <mergeCell ref="K541:K542"/>
    <mergeCell ref="M546:M547"/>
    <mergeCell ref="J549:J550"/>
    <mergeCell ref="K549:K550"/>
    <mergeCell ref="L549:L550"/>
    <mergeCell ref="M549:M550"/>
    <mergeCell ref="I549:I550"/>
    <mergeCell ref="K559:K562"/>
    <mergeCell ref="I546:I548"/>
    <mergeCell ref="D565:D568"/>
    <mergeCell ref="E565:E568"/>
    <mergeCell ref="F565:F568"/>
    <mergeCell ref="A563:A564"/>
    <mergeCell ref="B563:B564"/>
    <mergeCell ref="I634:I635"/>
    <mergeCell ref="B630:B631"/>
    <mergeCell ref="C630:C631"/>
    <mergeCell ref="D630:D631"/>
    <mergeCell ref="E630:E631"/>
    <mergeCell ref="F630:F631"/>
    <mergeCell ref="I574:I575"/>
    <mergeCell ref="I630:I631"/>
    <mergeCell ref="G570:G573"/>
    <mergeCell ref="H570:H573"/>
    <mergeCell ref="J634:J635"/>
    <mergeCell ref="K634:K635"/>
    <mergeCell ref="A634:A635"/>
    <mergeCell ref="B634:B635"/>
    <mergeCell ref="C634:C635"/>
    <mergeCell ref="D634:D635"/>
    <mergeCell ref="E634:E635"/>
    <mergeCell ref="F634:F635"/>
    <mergeCell ref="I555:I556"/>
    <mergeCell ref="J555:J556"/>
    <mergeCell ref="A555:A556"/>
    <mergeCell ref="B555:B556"/>
    <mergeCell ref="C555:C556"/>
    <mergeCell ref="D555:D556"/>
    <mergeCell ref="E555:E556"/>
    <mergeCell ref="F555:F556"/>
    <mergeCell ref="A574:A575"/>
    <mergeCell ref="B574:B575"/>
    <mergeCell ref="C574:C575"/>
    <mergeCell ref="D574:D575"/>
    <mergeCell ref="E574:E575"/>
    <mergeCell ref="F574:F575"/>
    <mergeCell ref="K630:K631"/>
    <mergeCell ref="A630:A631"/>
    <mergeCell ref="K450:K451"/>
    <mergeCell ref="I419:I421"/>
    <mergeCell ref="I450:I451"/>
    <mergeCell ref="A450:A451"/>
    <mergeCell ref="B450:B451"/>
    <mergeCell ref="C450:C451"/>
    <mergeCell ref="D450:D451"/>
    <mergeCell ref="E450:E451"/>
    <mergeCell ref="F450:F451"/>
    <mergeCell ref="J419:J421"/>
    <mergeCell ref="K419:K421"/>
    <mergeCell ref="A419:A421"/>
    <mergeCell ref="B419:B421"/>
    <mergeCell ref="C419:C421"/>
    <mergeCell ref="D419:D421"/>
    <mergeCell ref="E419:E421"/>
    <mergeCell ref="F419:F421"/>
    <mergeCell ref="A541:A542"/>
    <mergeCell ref="B541:B542"/>
    <mergeCell ref="C541:C542"/>
    <mergeCell ref="D541:D542"/>
    <mergeCell ref="E541:E542"/>
    <mergeCell ref="F541:F542"/>
    <mergeCell ref="F546:F548"/>
    <mergeCell ref="E546:E548"/>
    <mergeCell ref="D546:D548"/>
    <mergeCell ref="B546:B548"/>
    <mergeCell ref="C546:C548"/>
    <mergeCell ref="A546:A548"/>
    <mergeCell ref="A415:A417"/>
    <mergeCell ref="B415:B417"/>
    <mergeCell ref="C415:C417"/>
    <mergeCell ref="D415:D417"/>
    <mergeCell ref="E415:E417"/>
    <mergeCell ref="F415:F417"/>
    <mergeCell ref="D406:D407"/>
    <mergeCell ref="E406:E407"/>
    <mergeCell ref="F406:F407"/>
    <mergeCell ref="A408:A411"/>
    <mergeCell ref="B408:B411"/>
    <mergeCell ref="C408:C411"/>
    <mergeCell ref="D408:D411"/>
    <mergeCell ref="A406:A407"/>
    <mergeCell ref="B406:B407"/>
    <mergeCell ref="C406:C407"/>
    <mergeCell ref="A374:A376"/>
    <mergeCell ref="B374:B376"/>
    <mergeCell ref="C374:C376"/>
    <mergeCell ref="D374:D376"/>
    <mergeCell ref="E374:E376"/>
    <mergeCell ref="F374:F376"/>
    <mergeCell ref="I374:I376"/>
    <mergeCell ref="A372:A373"/>
    <mergeCell ref="B372:B373"/>
    <mergeCell ref="C372:C373"/>
    <mergeCell ref="D372:D373"/>
    <mergeCell ref="E372:E373"/>
    <mergeCell ref="F372:F373"/>
    <mergeCell ref="A28:A29"/>
    <mergeCell ref="B359:B360"/>
    <mergeCell ref="C359:C360"/>
    <mergeCell ref="D359:D360"/>
    <mergeCell ref="E359:E360"/>
    <mergeCell ref="F359:F360"/>
    <mergeCell ref="A359:A360"/>
    <mergeCell ref="I344:I345"/>
    <mergeCell ref="J344:J345"/>
    <mergeCell ref="E68:E69"/>
    <mergeCell ref="G68:G69"/>
    <mergeCell ref="F68:F69"/>
    <mergeCell ref="A237:A238"/>
    <mergeCell ref="B237:B238"/>
    <mergeCell ref="C237:C238"/>
    <mergeCell ref="D237:D238"/>
    <mergeCell ref="E237:E238"/>
    <mergeCell ref="F237:F238"/>
    <mergeCell ref="I237:I238"/>
    <mergeCell ref="J237:J238"/>
    <mergeCell ref="F128:F129"/>
    <mergeCell ref="P55:Q55"/>
    <mergeCell ref="D344:D345"/>
    <mergeCell ref="E344:E345"/>
    <mergeCell ref="A128:A129"/>
    <mergeCell ref="B344:B345"/>
    <mergeCell ref="A344:A345"/>
    <mergeCell ref="C344:C345"/>
    <mergeCell ref="F344:F345"/>
    <mergeCell ref="A113:A114"/>
    <mergeCell ref="A66:A67"/>
    <mergeCell ref="A58:A60"/>
    <mergeCell ref="A339:A341"/>
    <mergeCell ref="B339:B341"/>
    <mergeCell ref="C339:C341"/>
    <mergeCell ref="D339:D341"/>
    <mergeCell ref="F339:F341"/>
    <mergeCell ref="E339:E341"/>
    <mergeCell ref="J339:J341"/>
    <mergeCell ref="K339:K341"/>
    <mergeCell ref="K344:K345"/>
    <mergeCell ref="K237:K238"/>
    <mergeCell ref="A369:A370"/>
    <mergeCell ref="B369:B370"/>
    <mergeCell ref="C369:C370"/>
    <mergeCell ref="D369:D370"/>
    <mergeCell ref="E369:E370"/>
    <mergeCell ref="F369:F370"/>
    <mergeCell ref="I369:I370"/>
    <mergeCell ref="B367:B368"/>
    <mergeCell ref="A367:A368"/>
    <mergeCell ref="C367:C368"/>
    <mergeCell ref="D367:D368"/>
    <mergeCell ref="E367:E368"/>
    <mergeCell ref="F367:F368"/>
    <mergeCell ref="A363:A364"/>
    <mergeCell ref="B363:B364"/>
    <mergeCell ref="C363:C364"/>
    <mergeCell ref="D363:D364"/>
    <mergeCell ref="E363:E364"/>
    <mergeCell ref="F363:F364"/>
    <mergeCell ref="I363:I364"/>
    <mergeCell ref="J363:J364"/>
    <mergeCell ref="I367:I368"/>
    <mergeCell ref="J367:J368"/>
    <mergeCell ref="G363:G364"/>
    <mergeCell ref="H363:H364"/>
    <mergeCell ref="A393:A394"/>
    <mergeCell ref="B393:B394"/>
    <mergeCell ref="C393:C394"/>
    <mergeCell ref="D393:D394"/>
    <mergeCell ref="E393:E394"/>
    <mergeCell ref="F393:F394"/>
    <mergeCell ref="M385:M388"/>
    <mergeCell ref="A385:A388"/>
    <mergeCell ref="B385:B388"/>
    <mergeCell ref="C385:C388"/>
    <mergeCell ref="D385:D388"/>
    <mergeCell ref="E385:E388"/>
    <mergeCell ref="F385:F388"/>
    <mergeCell ref="A400:A401"/>
    <mergeCell ref="B400:B401"/>
    <mergeCell ref="C400:C401"/>
    <mergeCell ref="E400:E401"/>
    <mergeCell ref="F400:F401"/>
    <mergeCell ref="J546:J547"/>
    <mergeCell ref="K546:K547"/>
    <mergeCell ref="L546:L547"/>
    <mergeCell ref="I400:I401"/>
    <mergeCell ref="J400:J401"/>
    <mergeCell ref="K400:K401"/>
    <mergeCell ref="A428:A429"/>
    <mergeCell ref="B428:B429"/>
    <mergeCell ref="C428:C429"/>
    <mergeCell ref="D428:D429"/>
    <mergeCell ref="E428:E429"/>
    <mergeCell ref="F428:F429"/>
    <mergeCell ref="J428:J429"/>
    <mergeCell ref="K428:K429"/>
    <mergeCell ref="A404:A405"/>
    <mergeCell ref="B404:B405"/>
    <mergeCell ref="C404:C405"/>
    <mergeCell ref="D404:D405"/>
    <mergeCell ref="E404:E405"/>
    <mergeCell ref="A549:A550"/>
    <mergeCell ref="B549:B550"/>
    <mergeCell ref="C549:C550"/>
    <mergeCell ref="D549:D550"/>
    <mergeCell ref="E549:E550"/>
    <mergeCell ref="F549:F550"/>
    <mergeCell ref="E563:E564"/>
    <mergeCell ref="A570:A573"/>
    <mergeCell ref="B570:B573"/>
    <mergeCell ref="C570:C573"/>
    <mergeCell ref="D570:D573"/>
    <mergeCell ref="A559:A562"/>
    <mergeCell ref="B559:B562"/>
    <mergeCell ref="C559:C562"/>
    <mergeCell ref="D559:D562"/>
    <mergeCell ref="E559:E562"/>
    <mergeCell ref="F559:F562"/>
    <mergeCell ref="E570:E573"/>
    <mergeCell ref="F563:F564"/>
    <mergeCell ref="C563:C564"/>
    <mergeCell ref="D563:D564"/>
    <mergeCell ref="A565:A568"/>
    <mergeCell ref="B565:B568"/>
    <mergeCell ref="C565:C568"/>
    <mergeCell ref="K574:K575"/>
    <mergeCell ref="I563:I564"/>
    <mergeCell ref="J563:J564"/>
    <mergeCell ref="K563:K564"/>
    <mergeCell ref="I565:I568"/>
    <mergeCell ref="J570:J573"/>
    <mergeCell ref="F570:F573"/>
    <mergeCell ref="I570:I573"/>
    <mergeCell ref="K570:K573"/>
    <mergeCell ref="J565:J568"/>
    <mergeCell ref="K565:K568"/>
    <mergeCell ref="G567:G568"/>
    <mergeCell ref="H567:H568"/>
    <mergeCell ref="G563:G564"/>
    <mergeCell ref="H563:H564"/>
    <mergeCell ref="J630:J631"/>
    <mergeCell ref="D400:D401"/>
    <mergeCell ref="I385:I388"/>
    <mergeCell ref="J385:J388"/>
    <mergeCell ref="I393:I394"/>
    <mergeCell ref="J393:J394"/>
    <mergeCell ref="J369:J370"/>
    <mergeCell ref="I359:I360"/>
    <mergeCell ref="J359:J360"/>
    <mergeCell ref="I372:I373"/>
    <mergeCell ref="J372:J373"/>
    <mergeCell ref="J374:J376"/>
    <mergeCell ref="F404:F405"/>
    <mergeCell ref="I404:I405"/>
    <mergeCell ref="J404:J405"/>
    <mergeCell ref="J408:J411"/>
    <mergeCell ref="J574:J575"/>
    <mergeCell ref="J406:J407"/>
    <mergeCell ref="I408:I411"/>
    <mergeCell ref="G419:G421"/>
    <mergeCell ref="H419:H421"/>
    <mergeCell ref="G450:G451"/>
    <mergeCell ref="H450:H451"/>
    <mergeCell ref="J450:J451"/>
    <mergeCell ref="B2:F2"/>
    <mergeCell ref="B13:C13"/>
    <mergeCell ref="B14:C14"/>
    <mergeCell ref="B15:C15"/>
    <mergeCell ref="B16:C16"/>
    <mergeCell ref="B17:C17"/>
    <mergeCell ref="B3:H3"/>
    <mergeCell ref="K415:K417"/>
    <mergeCell ref="K408:K411"/>
    <mergeCell ref="K406:K407"/>
    <mergeCell ref="K404:K405"/>
    <mergeCell ref="E408:E411"/>
    <mergeCell ref="F408:F411"/>
    <mergeCell ref="L363:L364"/>
    <mergeCell ref="M363:M364"/>
    <mergeCell ref="N363:N364"/>
    <mergeCell ref="O363:O364"/>
    <mergeCell ref="I406:I407"/>
    <mergeCell ref="I415:I417"/>
    <mergeCell ref="J415:J417"/>
    <mergeCell ref="B18:C18"/>
    <mergeCell ref="G19:H19"/>
    <mergeCell ref="K385:K388"/>
    <mergeCell ref="K393:K394"/>
    <mergeCell ref="K363:K364"/>
    <mergeCell ref="K369:K370"/>
    <mergeCell ref="K367:K368"/>
    <mergeCell ref="K359:K360"/>
    <mergeCell ref="K374:K376"/>
    <mergeCell ref="K372:K373"/>
    <mergeCell ref="L563:L564"/>
    <mergeCell ref="M563:M564"/>
    <mergeCell ref="N563:N564"/>
    <mergeCell ref="O563:O564"/>
    <mergeCell ref="L567:L568"/>
    <mergeCell ref="M567:M568"/>
    <mergeCell ref="N567:N568"/>
    <mergeCell ref="O567:O568"/>
    <mergeCell ref="L419:L421"/>
    <mergeCell ref="M419:M421"/>
    <mergeCell ref="N419:N421"/>
    <mergeCell ref="O419:O421"/>
    <mergeCell ref="L450:L451"/>
    <mergeCell ref="M450:M451"/>
    <mergeCell ref="N450:N451"/>
    <mergeCell ref="O450:O451"/>
  </mergeCells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123</cp:lastModifiedBy>
  <cp:lastPrinted>2020-11-18T09:12:31Z</cp:lastPrinted>
  <dcterms:created xsi:type="dcterms:W3CDTF">2013-11-07T08:01:25Z</dcterms:created>
  <dcterms:modified xsi:type="dcterms:W3CDTF">2022-08-04T05:41:39Z</dcterms:modified>
</cp:coreProperties>
</file>