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088"/>
  </bookViews>
  <sheets>
    <sheet name="2015" sheetId="7" r:id="rId1"/>
  </sheets>
  <definedNames>
    <definedName name="_xlnm._FilterDatabase" localSheetId="0" hidden="1">'2015'!$A$24:$O$608</definedName>
  </definedNames>
  <calcPr calcId="145621"/>
</workbook>
</file>

<file path=xl/calcChain.xml><?xml version="1.0" encoding="utf-8"?>
<calcChain xmlns="http://schemas.openxmlformats.org/spreadsheetml/2006/main">
  <c r="N96" i="7" l="1"/>
  <c r="N470" i="7"/>
  <c r="N469" i="7"/>
  <c r="N488" i="7"/>
  <c r="N537" i="7"/>
  <c r="N146" i="7"/>
  <c r="G146" i="7" s="1"/>
  <c r="N173" i="7"/>
  <c r="G173" i="7" s="1"/>
  <c r="G547" i="7"/>
  <c r="G452" i="7"/>
  <c r="G571" i="7"/>
  <c r="N122" i="7"/>
  <c r="N364" i="7"/>
  <c r="N55" i="7"/>
  <c r="G55" i="7" s="1"/>
  <c r="N311" i="7"/>
  <c r="G311" i="7" s="1"/>
  <c r="N481" i="7"/>
  <c r="G481" i="7" s="1"/>
  <c r="N86" i="7" l="1"/>
  <c r="G86" i="7" s="1"/>
  <c r="N365" i="7"/>
  <c r="G365" i="7" s="1"/>
  <c r="N337" i="7"/>
  <c r="N483" i="7" l="1"/>
  <c r="N223" i="7"/>
  <c r="G223" i="7" s="1"/>
  <c r="N599" i="7"/>
  <c r="N454" i="7"/>
  <c r="N362" i="7"/>
  <c r="N126" i="7"/>
  <c r="N570" i="7"/>
  <c r="N510" i="7"/>
  <c r="N451" i="7"/>
  <c r="N425" i="7"/>
  <c r="N269" i="7"/>
  <c r="N279" i="7"/>
  <c r="N476" i="7"/>
  <c r="G476" i="7" s="1"/>
  <c r="N157" i="7"/>
  <c r="N99" i="7" l="1"/>
  <c r="N212" i="7"/>
  <c r="N47" i="7"/>
  <c r="N563" i="7"/>
  <c r="N121" i="7"/>
  <c r="N141" i="7"/>
  <c r="N424" i="7"/>
  <c r="N479" i="7"/>
  <c r="N418" i="7"/>
  <c r="N387" i="7"/>
  <c r="N388" i="7"/>
  <c r="N102" i="7"/>
  <c r="N156" i="7"/>
  <c r="N152" i="7"/>
  <c r="N154" i="7"/>
  <c r="N155" i="7" l="1"/>
  <c r="N371" i="7"/>
  <c r="N34" i="7"/>
  <c r="N534" i="7"/>
  <c r="N95" i="7"/>
  <c r="N193" i="7"/>
  <c r="N94" i="7"/>
  <c r="N250" i="7"/>
  <c r="N236" i="7"/>
  <c r="N266" i="7"/>
  <c r="N251" i="7"/>
  <c r="N252" i="7"/>
  <c r="N235" i="7"/>
  <c r="N301" i="7"/>
  <c r="N262" i="7"/>
  <c r="N367" i="7"/>
  <c r="N359" i="7"/>
  <c r="N392" i="7"/>
  <c r="N368" i="7"/>
  <c r="N369" i="7"/>
  <c r="N428" i="7"/>
  <c r="N422" i="7"/>
  <c r="N442" i="7"/>
  <c r="N125" i="7"/>
  <c r="N332" i="7"/>
  <c r="N447" i="7"/>
  <c r="N448" i="7"/>
  <c r="N475" i="7"/>
  <c r="N551" i="7"/>
  <c r="N552" i="7"/>
  <c r="N158" i="7"/>
  <c r="N285" i="7"/>
  <c r="N127" i="7"/>
  <c r="N85" i="7"/>
  <c r="N363" i="7"/>
  <c r="N339" i="7"/>
  <c r="N57" i="7"/>
  <c r="N194" i="7"/>
  <c r="N244" i="7"/>
  <c r="N317" i="7"/>
  <c r="N318" i="7"/>
  <c r="N320" i="7"/>
  <c r="N374" i="7"/>
  <c r="N462" i="7"/>
  <c r="N523" i="7"/>
  <c r="N505" i="7"/>
  <c r="N530" i="7"/>
  <c r="N544" i="7"/>
  <c r="N554" i="7"/>
  <c r="N568" i="7"/>
  <c r="N504" i="7"/>
  <c r="N340" i="7"/>
  <c r="N245" i="7"/>
  <c r="N44" i="7"/>
  <c r="N209" i="7"/>
  <c r="N151" i="7"/>
  <c r="N453" i="7"/>
  <c r="N538" i="7" l="1"/>
  <c r="G538" i="7" s="1"/>
  <c r="E15" i="7"/>
  <c r="E20" i="7" s="1"/>
  <c r="E22" i="7" s="1"/>
  <c r="D15" i="7"/>
  <c r="D20" i="7" s="1"/>
  <c r="G608" i="7"/>
  <c r="N607" i="7"/>
  <c r="G607" i="7" s="1"/>
  <c r="N606" i="7"/>
  <c r="N605" i="7"/>
  <c r="N604" i="7"/>
  <c r="G604" i="7" s="1"/>
  <c r="N603" i="7"/>
  <c r="N602" i="7"/>
  <c r="N601" i="7"/>
  <c r="N596" i="7"/>
  <c r="N600" i="7"/>
  <c r="G599" i="7"/>
  <c r="N595" i="7"/>
  <c r="N598" i="7"/>
  <c r="G598" i="7" s="1"/>
  <c r="N597" i="7"/>
  <c r="G597" i="7" s="1"/>
  <c r="N594" i="7"/>
  <c r="N593" i="7"/>
  <c r="N589" i="7"/>
  <c r="N592" i="7"/>
  <c r="N591" i="7"/>
  <c r="N590" i="7"/>
  <c r="N588" i="7"/>
  <c r="N587" i="7"/>
  <c r="N586" i="7"/>
  <c r="G586" i="7" s="1"/>
  <c r="N585" i="7"/>
  <c r="G585" i="7" s="1"/>
  <c r="N584" i="7"/>
  <c r="N583" i="7"/>
  <c r="N580" i="7"/>
  <c r="N582" i="7"/>
  <c r="N581" i="7"/>
  <c r="N579" i="7"/>
  <c r="N578" i="7"/>
  <c r="N577" i="7"/>
  <c r="G577" i="7" s="1"/>
  <c r="N576" i="7"/>
  <c r="N575" i="7"/>
  <c r="N574" i="7"/>
  <c r="N573" i="7"/>
  <c r="N572" i="7"/>
  <c r="G570" i="7"/>
  <c r="N569" i="7"/>
  <c r="G569" i="7" s="1"/>
  <c r="G568" i="7"/>
  <c r="N567" i="7"/>
  <c r="N566" i="7"/>
  <c r="N565" i="7"/>
  <c r="G565" i="7" s="1"/>
  <c r="N564" i="7"/>
  <c r="G564" i="7" s="1"/>
  <c r="G563" i="7"/>
  <c r="N562" i="7"/>
  <c r="N561" i="7"/>
  <c r="N560" i="7"/>
  <c r="G560" i="7" s="1"/>
  <c r="N559" i="7"/>
  <c r="N558" i="7"/>
  <c r="N557" i="7"/>
  <c r="G557" i="7" s="1"/>
  <c r="N556" i="7"/>
  <c r="G556" i="7" s="1"/>
  <c r="N555" i="7"/>
  <c r="G555" i="7" s="1"/>
  <c r="G554" i="7"/>
  <c r="N553" i="7"/>
  <c r="G553" i="7" s="1"/>
  <c r="G552" i="7"/>
  <c r="G551" i="7"/>
  <c r="N550" i="7"/>
  <c r="G550" i="7" s="1"/>
  <c r="N549" i="7"/>
  <c r="G549" i="7" s="1"/>
  <c r="N548" i="7"/>
  <c r="G548" i="7" s="1"/>
  <c r="N546" i="7"/>
  <c r="N545" i="7"/>
  <c r="G545" i="7" s="1"/>
  <c r="G544" i="7"/>
  <c r="N543" i="7"/>
  <c r="G543" i="7" s="1"/>
  <c r="G542" i="7"/>
  <c r="G541" i="7"/>
  <c r="N540" i="7"/>
  <c r="N539" i="7"/>
  <c r="G536" i="7"/>
  <c r="G535" i="7"/>
  <c r="G534" i="7"/>
  <c r="N533" i="7"/>
  <c r="N532" i="7"/>
  <c r="N531" i="7"/>
  <c r="G530" i="7"/>
  <c r="N529" i="7"/>
  <c r="G529" i="7" s="1"/>
  <c r="N528" i="7"/>
  <c r="G528" i="7" s="1"/>
  <c r="N527" i="7"/>
  <c r="G527" i="7" s="1"/>
  <c r="N526" i="7"/>
  <c r="G526" i="7" s="1"/>
  <c r="N525" i="7"/>
  <c r="G525" i="7" s="1"/>
  <c r="N524" i="7"/>
  <c r="G524" i="7" s="1"/>
  <c r="G523" i="7"/>
  <c r="N522" i="7"/>
  <c r="G522" i="7" s="1"/>
  <c r="N521" i="7"/>
  <c r="G521" i="7" s="1"/>
  <c r="N520" i="7"/>
  <c r="G520" i="7" s="1"/>
  <c r="N519" i="7"/>
  <c r="N518" i="7"/>
  <c r="G518" i="7" s="1"/>
  <c r="N517" i="7"/>
  <c r="G517" i="7" s="1"/>
  <c r="N516" i="7"/>
  <c r="G516" i="7" s="1"/>
  <c r="N515" i="7"/>
  <c r="G515" i="7" s="1"/>
  <c r="N514" i="7"/>
  <c r="G514" i="7" s="1"/>
  <c r="N513" i="7"/>
  <c r="G513" i="7" s="1"/>
  <c r="N512" i="7"/>
  <c r="G512" i="7" s="1"/>
  <c r="G510" i="7"/>
  <c r="N509" i="7"/>
  <c r="N508" i="7"/>
  <c r="N507" i="7"/>
  <c r="G507" i="7" s="1"/>
  <c r="N506" i="7"/>
  <c r="G506" i="7" s="1"/>
  <c r="G505" i="7"/>
  <c r="G504" i="7"/>
  <c r="N498" i="7"/>
  <c r="N500" i="7"/>
  <c r="N501" i="7"/>
  <c r="N503" i="7"/>
  <c r="N499" i="7"/>
  <c r="N497" i="7"/>
  <c r="N496" i="7"/>
  <c r="N495" i="7"/>
  <c r="N494" i="7"/>
  <c r="N493" i="7"/>
  <c r="N492" i="7"/>
  <c r="G492" i="7" s="1"/>
  <c r="N491" i="7"/>
  <c r="G491" i="7" s="1"/>
  <c r="N490" i="7"/>
  <c r="N489" i="7"/>
  <c r="N485" i="7"/>
  <c r="N487" i="7"/>
  <c r="N486" i="7"/>
  <c r="N484" i="7"/>
  <c r="G483" i="7"/>
  <c r="N482" i="7"/>
  <c r="N480" i="7"/>
  <c r="G479" i="7"/>
  <c r="N478" i="7"/>
  <c r="G478" i="7" s="1"/>
  <c r="N477" i="7"/>
  <c r="G475" i="7"/>
  <c r="N474" i="7"/>
  <c r="N473" i="7"/>
  <c r="G473" i="7" s="1"/>
  <c r="N472" i="7"/>
  <c r="N471" i="7"/>
  <c r="N468" i="7"/>
  <c r="N467" i="7"/>
  <c r="G466" i="7"/>
  <c r="N465" i="7"/>
  <c r="G465" i="7" s="1"/>
  <c r="N464" i="7"/>
  <c r="G464" i="7" s="1"/>
  <c r="N463" i="7"/>
  <c r="G463" i="7" s="1"/>
  <c r="G462" i="7"/>
  <c r="N461" i="7"/>
  <c r="G461" i="7" s="1"/>
  <c r="N460" i="7"/>
  <c r="G460" i="7" s="1"/>
  <c r="N459" i="7"/>
  <c r="G459" i="7" s="1"/>
  <c r="N458" i="7"/>
  <c r="N457" i="7"/>
  <c r="G457" i="7" s="1"/>
  <c r="N456" i="7"/>
  <c r="G456" i="7" s="1"/>
  <c r="N455" i="7"/>
  <c r="G454" i="7"/>
  <c r="G453" i="7"/>
  <c r="G451" i="7"/>
  <c r="N450" i="7"/>
  <c r="N449" i="7"/>
  <c r="G448" i="7"/>
  <c r="G447" i="7"/>
  <c r="N441" i="7"/>
  <c r="N440" i="7"/>
  <c r="G446" i="7"/>
  <c r="G445" i="7"/>
  <c r="N444" i="7"/>
  <c r="N443" i="7"/>
  <c r="G443" i="7" s="1"/>
  <c r="G442" i="7"/>
  <c r="N439" i="7"/>
  <c r="G439" i="7" s="1"/>
  <c r="N438" i="7"/>
  <c r="G438" i="7" s="1"/>
  <c r="N437" i="7"/>
  <c r="G437" i="7" s="1"/>
  <c r="N436" i="7"/>
  <c r="G435" i="7"/>
  <c r="N434" i="7"/>
  <c r="N433" i="7"/>
  <c r="G433" i="7" s="1"/>
  <c r="N432" i="7"/>
  <c r="G432" i="7" s="1"/>
  <c r="N431" i="7"/>
  <c r="N430" i="7"/>
  <c r="N429" i="7"/>
  <c r="G428" i="7"/>
  <c r="N427" i="7"/>
  <c r="N426" i="7"/>
  <c r="G426" i="7" s="1"/>
  <c r="G425" i="7"/>
  <c r="N409" i="7"/>
  <c r="G424" i="7"/>
  <c r="N423" i="7"/>
  <c r="G423" i="7" s="1"/>
  <c r="G422" i="7"/>
  <c r="N421" i="7"/>
  <c r="N420" i="7"/>
  <c r="G420" i="7" s="1"/>
  <c r="G418" i="7"/>
  <c r="N417" i="7"/>
  <c r="G417" i="7" s="1"/>
  <c r="N416" i="7"/>
  <c r="G416" i="7" s="1"/>
  <c r="N415" i="7"/>
  <c r="G415" i="7" s="1"/>
  <c r="N414" i="7"/>
  <c r="G414" i="7" s="1"/>
  <c r="N413" i="7"/>
  <c r="G413" i="7" s="1"/>
  <c r="N412" i="7"/>
  <c r="G412" i="7" s="1"/>
  <c r="N411" i="7"/>
  <c r="G411" i="7" s="1"/>
  <c r="N410" i="7"/>
  <c r="N408" i="7"/>
  <c r="G407" i="7"/>
  <c r="G406" i="7"/>
  <c r="G405" i="7"/>
  <c r="G404" i="7"/>
  <c r="G403" i="7"/>
  <c r="G402" i="7"/>
  <c r="G401" i="7"/>
  <c r="G400" i="7"/>
  <c r="G399" i="7"/>
  <c r="G398" i="7"/>
  <c r="G397" i="7"/>
  <c r="G396" i="7"/>
  <c r="G395" i="7"/>
  <c r="N394" i="7"/>
  <c r="G394" i="7" s="1"/>
  <c r="N393" i="7"/>
  <c r="G393" i="7" s="1"/>
  <c r="G392" i="7"/>
  <c r="N391" i="7"/>
  <c r="G391" i="7" s="1"/>
  <c r="N390" i="7"/>
  <c r="N389" i="7"/>
  <c r="G389" i="7" s="1"/>
  <c r="G388" i="7"/>
  <c r="G387" i="7"/>
  <c r="N386" i="7"/>
  <c r="N385" i="7"/>
  <c r="G385" i="7" s="1"/>
  <c r="N384" i="7"/>
  <c r="G384" i="7" s="1"/>
  <c r="N383" i="7"/>
  <c r="N382" i="7"/>
  <c r="G382" i="7" s="1"/>
  <c r="N381" i="7"/>
  <c r="N380" i="7"/>
  <c r="N379" i="7"/>
  <c r="G379" i="7" s="1"/>
  <c r="N378" i="7"/>
  <c r="G378" i="7" s="1"/>
  <c r="N377" i="7"/>
  <c r="G377" i="7" s="1"/>
  <c r="N376" i="7"/>
  <c r="G376" i="7" s="1"/>
  <c r="N375" i="7"/>
  <c r="G375" i="7" s="1"/>
  <c r="G374" i="7"/>
  <c r="N373" i="7"/>
  <c r="G373" i="7" s="1"/>
  <c r="N372" i="7"/>
  <c r="G372" i="7" s="1"/>
  <c r="G371" i="7"/>
  <c r="N370" i="7"/>
  <c r="G370" i="7" s="1"/>
  <c r="G369" i="7"/>
  <c r="G368" i="7"/>
  <c r="G367" i="7"/>
  <c r="N366" i="7"/>
  <c r="G363" i="7"/>
  <c r="G362" i="7"/>
  <c r="N361" i="7"/>
  <c r="G361" i="7" s="1"/>
  <c r="N360" i="7"/>
  <c r="G360" i="7" s="1"/>
  <c r="G359" i="7"/>
  <c r="N358" i="7"/>
  <c r="G358" i="7" s="1"/>
  <c r="N357" i="7"/>
  <c r="G357" i="7" s="1"/>
  <c r="N356" i="7"/>
  <c r="N355" i="7"/>
  <c r="N354" i="7"/>
  <c r="N353" i="7"/>
  <c r="N352" i="7"/>
  <c r="G352" i="7" s="1"/>
  <c r="N351" i="7"/>
  <c r="G351" i="7" s="1"/>
  <c r="N350" i="7"/>
  <c r="G350" i="7" s="1"/>
  <c r="N349" i="7"/>
  <c r="G349" i="7" s="1"/>
  <c r="N348" i="7"/>
  <c r="G348" i="7" s="1"/>
  <c r="G341" i="7"/>
  <c r="N347" i="7"/>
  <c r="N346" i="7"/>
  <c r="N345" i="7"/>
  <c r="G345" i="7" s="1"/>
  <c r="N344" i="7"/>
  <c r="G344" i="7" s="1"/>
  <c r="N343" i="7"/>
  <c r="G343" i="7" s="1"/>
  <c r="N342" i="7"/>
  <c r="G342" i="7" s="1"/>
  <c r="G340" i="7"/>
  <c r="G339" i="7"/>
  <c r="N338" i="7"/>
  <c r="N336" i="7"/>
  <c r="G336" i="7" s="1"/>
  <c r="N335" i="7"/>
  <c r="G335" i="7" s="1"/>
  <c r="N334" i="7"/>
  <c r="N333" i="7"/>
  <c r="G333" i="7" s="1"/>
  <c r="G332" i="7"/>
  <c r="N331" i="7"/>
  <c r="N330" i="7"/>
  <c r="G330" i="7" s="1"/>
  <c r="N329" i="7"/>
  <c r="G329" i="7" s="1"/>
  <c r="N328" i="7"/>
  <c r="G328" i="7" s="1"/>
  <c r="N327" i="7"/>
  <c r="G327" i="7" s="1"/>
  <c r="N326" i="7"/>
  <c r="G326" i="7" s="1"/>
  <c r="N325" i="7"/>
  <c r="G325" i="7" s="1"/>
  <c r="N324" i="7"/>
  <c r="G324" i="7" s="1"/>
  <c r="N323" i="7"/>
  <c r="G323" i="7" s="1"/>
  <c r="N322" i="7"/>
  <c r="G322" i="7" s="1"/>
  <c r="N321" i="7"/>
  <c r="G321" i="7" s="1"/>
  <c r="G320" i="7"/>
  <c r="N319" i="7"/>
  <c r="G319" i="7" s="1"/>
  <c r="G318" i="7"/>
  <c r="G317" i="7"/>
  <c r="N316" i="7"/>
  <c r="G316" i="7" s="1"/>
  <c r="N315" i="7"/>
  <c r="G315" i="7" s="1"/>
  <c r="N314" i="7"/>
  <c r="G314" i="7" s="1"/>
  <c r="N313" i="7"/>
  <c r="G313" i="7" s="1"/>
  <c r="N312" i="7"/>
  <c r="G312" i="7" s="1"/>
  <c r="N310" i="7"/>
  <c r="G310" i="7" s="1"/>
  <c r="N309" i="7"/>
  <c r="G309" i="7" s="1"/>
  <c r="N308" i="7"/>
  <c r="G308" i="7" s="1"/>
  <c r="N307" i="7"/>
  <c r="N306" i="7"/>
  <c r="N305" i="7"/>
  <c r="N304" i="7"/>
  <c r="G304" i="7" s="1"/>
  <c r="N303" i="7"/>
  <c r="G303" i="7" s="1"/>
  <c r="N298" i="7"/>
  <c r="N302" i="7"/>
  <c r="G301" i="7"/>
  <c r="N300" i="7"/>
  <c r="N297" i="7"/>
  <c r="G297" i="7" s="1"/>
  <c r="N296" i="7"/>
  <c r="G296" i="7" s="1"/>
  <c r="N295" i="7"/>
  <c r="G295" i="7" s="1"/>
  <c r="N294" i="7"/>
  <c r="G294" i="7" s="1"/>
  <c r="N293" i="7"/>
  <c r="G293" i="7" s="1"/>
  <c r="N292" i="7"/>
  <c r="G292" i="7" s="1"/>
  <c r="N291" i="7"/>
  <c r="G291" i="7" s="1"/>
  <c r="N290" i="7"/>
  <c r="G290" i="7" s="1"/>
  <c r="N289" i="7"/>
  <c r="G289" i="7" s="1"/>
  <c r="N288" i="7"/>
  <c r="N287" i="7"/>
  <c r="N286" i="7"/>
  <c r="G286" i="7" s="1"/>
  <c r="G283" i="7"/>
  <c r="G285" i="7"/>
  <c r="N284" i="7"/>
  <c r="N275" i="7"/>
  <c r="G275" i="7" s="1"/>
  <c r="N274" i="7"/>
  <c r="N278" i="7"/>
  <c r="N282" i="7"/>
  <c r="N281" i="7"/>
  <c r="N280" i="7"/>
  <c r="N277" i="7"/>
  <c r="N271" i="7"/>
  <c r="N276" i="7"/>
  <c r="G276" i="7" s="1"/>
  <c r="N273" i="7"/>
  <c r="G273" i="7" s="1"/>
  <c r="N272" i="7"/>
  <c r="N270" i="7"/>
  <c r="G269" i="7"/>
  <c r="N268" i="7"/>
  <c r="G268" i="7" s="1"/>
  <c r="N267" i="7"/>
  <c r="G266" i="7"/>
  <c r="N265" i="7"/>
  <c r="N256" i="7"/>
  <c r="N264" i="7"/>
  <c r="G264" i="7" s="1"/>
  <c r="N263" i="7"/>
  <c r="G263" i="7" s="1"/>
  <c r="G262" i="7"/>
  <c r="N261" i="7"/>
  <c r="N260" i="7"/>
  <c r="N259" i="7"/>
  <c r="G259" i="7" s="1"/>
  <c r="N258" i="7"/>
  <c r="G258" i="7" s="1"/>
  <c r="N257" i="7"/>
  <c r="G257" i="7" s="1"/>
  <c r="N255" i="7"/>
  <c r="N254" i="7"/>
  <c r="N253" i="7"/>
  <c r="G252" i="7"/>
  <c r="G251" i="7"/>
  <c r="G250" i="7"/>
  <c r="N249" i="7"/>
  <c r="G249" i="7" s="1"/>
  <c r="N242" i="7"/>
  <c r="N215" i="7"/>
  <c r="N248" i="7"/>
  <c r="G248" i="7" s="1"/>
  <c r="N247" i="7"/>
  <c r="G247" i="7" s="1"/>
  <c r="N246" i="7"/>
  <c r="G246" i="7" s="1"/>
  <c r="G245" i="7"/>
  <c r="G244" i="7"/>
  <c r="N243" i="7"/>
  <c r="G243" i="7" s="1"/>
  <c r="N241" i="7"/>
  <c r="N214" i="7"/>
  <c r="N218" i="7"/>
  <c r="N225" i="7"/>
  <c r="N240" i="7"/>
  <c r="N239" i="7"/>
  <c r="N238" i="7"/>
  <c r="N237" i="7"/>
  <c r="G235" i="7"/>
  <c r="G236" i="7"/>
  <c r="N234" i="7"/>
  <c r="G234" i="7" s="1"/>
  <c r="N233" i="7"/>
  <c r="G233" i="7" s="1"/>
  <c r="N232" i="7"/>
  <c r="G232" i="7" s="1"/>
  <c r="N231" i="7"/>
  <c r="G231" i="7" s="1"/>
  <c r="N230" i="7"/>
  <c r="N229" i="7"/>
  <c r="N228" i="7"/>
  <c r="N227" i="7"/>
  <c r="N226" i="7"/>
  <c r="N224" i="7"/>
  <c r="N222" i="7"/>
  <c r="N221" i="7"/>
  <c r="N220" i="7"/>
  <c r="N219" i="7"/>
  <c r="G219" i="7" s="1"/>
  <c r="N217" i="7"/>
  <c r="N216" i="7"/>
  <c r="N213" i="7"/>
  <c r="G212" i="7"/>
  <c r="N211" i="7"/>
  <c r="N210" i="7"/>
  <c r="G209" i="7"/>
  <c r="N208" i="7"/>
  <c r="G208" i="7" s="1"/>
  <c r="N207" i="7"/>
  <c r="G207" i="7" s="1"/>
  <c r="N206" i="7"/>
  <c r="G206" i="7" s="1"/>
  <c r="N205" i="7"/>
  <c r="G205" i="7" s="1"/>
  <c r="N204" i="7"/>
  <c r="G204" i="7" s="1"/>
  <c r="N203" i="7"/>
  <c r="G203" i="7" s="1"/>
  <c r="N202" i="7"/>
  <c r="G202" i="7" s="1"/>
  <c r="N201" i="7"/>
  <c r="G201" i="7" s="1"/>
  <c r="N200" i="7"/>
  <c r="G200" i="7" s="1"/>
  <c r="N199" i="7"/>
  <c r="N198" i="7"/>
  <c r="N197" i="7"/>
  <c r="N196" i="7"/>
  <c r="G196" i="7" s="1"/>
  <c r="N195" i="7"/>
  <c r="G195" i="7" s="1"/>
  <c r="G194" i="7"/>
  <c r="G193" i="7"/>
  <c r="N192" i="7"/>
  <c r="G192" i="7" s="1"/>
  <c r="N191" i="7"/>
  <c r="G191" i="7" s="1"/>
  <c r="G190" i="7"/>
  <c r="N183" i="7"/>
  <c r="N189" i="7"/>
  <c r="N188" i="7"/>
  <c r="G188" i="7" s="1"/>
  <c r="N187" i="7"/>
  <c r="G187" i="7" s="1"/>
  <c r="N186" i="7"/>
  <c r="G186" i="7" s="1"/>
  <c r="N185" i="7"/>
  <c r="G185" i="7" s="1"/>
  <c r="N184" i="7"/>
  <c r="G184" i="7" s="1"/>
  <c r="N177" i="7"/>
  <c r="N182" i="7"/>
  <c r="N180" i="7"/>
  <c r="N179" i="7"/>
  <c r="G179" i="7" s="1"/>
  <c r="N178" i="7"/>
  <c r="G178" i="7" s="1"/>
  <c r="N176" i="7"/>
  <c r="N175" i="7"/>
  <c r="N174" i="7"/>
  <c r="G164" i="7"/>
  <c r="G163" i="7"/>
  <c r="N168" i="7"/>
  <c r="N172" i="7"/>
  <c r="G172" i="7" s="1"/>
  <c r="N171" i="7"/>
  <c r="N170" i="7"/>
  <c r="N169" i="7"/>
  <c r="N167" i="7"/>
  <c r="N166" i="7"/>
  <c r="N165" i="7"/>
  <c r="G165" i="7" s="1"/>
  <c r="N162" i="7"/>
  <c r="N161" i="7"/>
  <c r="G161" i="7" s="1"/>
  <c r="N160" i="7"/>
  <c r="G160" i="7" s="1"/>
  <c r="N159" i="7"/>
  <c r="G158" i="7"/>
  <c r="G157" i="7"/>
  <c r="G156" i="7"/>
  <c r="G155" i="7"/>
  <c r="G154" i="7"/>
  <c r="N153" i="7"/>
  <c r="G153" i="7" s="1"/>
  <c r="G152" i="7"/>
  <c r="N149" i="7"/>
  <c r="G151" i="7"/>
  <c r="N150" i="7"/>
  <c r="G150" i="7" s="1"/>
  <c r="N148" i="7"/>
  <c r="N147" i="7"/>
  <c r="G147" i="7" s="1"/>
  <c r="N144" i="7"/>
  <c r="N143" i="7"/>
  <c r="G143" i="7" s="1"/>
  <c r="N142" i="7"/>
  <c r="G142" i="7" s="1"/>
  <c r="G141" i="7"/>
  <c r="N140" i="7"/>
  <c r="G140" i="7" s="1"/>
  <c r="N139" i="7"/>
  <c r="G139" i="7" s="1"/>
  <c r="N138" i="7"/>
  <c r="G138" i="7" s="1"/>
  <c r="N137" i="7"/>
  <c r="G137" i="7" s="1"/>
  <c r="N136" i="7"/>
  <c r="N135" i="7"/>
  <c r="N134" i="7"/>
  <c r="N133" i="7"/>
  <c r="G133" i="7" s="1"/>
  <c r="N132" i="7"/>
  <c r="G132" i="7" s="1"/>
  <c r="N131" i="7"/>
  <c r="G131" i="7" s="1"/>
  <c r="N130" i="7"/>
  <c r="N129" i="7"/>
  <c r="N128" i="7"/>
  <c r="G127" i="7"/>
  <c r="G126" i="7"/>
  <c r="G125" i="7"/>
  <c r="N124" i="7"/>
  <c r="G124" i="7" s="1"/>
  <c r="N123" i="7"/>
  <c r="G123" i="7" s="1"/>
  <c r="D21" i="7"/>
  <c r="G15" i="7"/>
  <c r="G121" i="7"/>
  <c r="N120" i="7"/>
  <c r="G120" i="7" s="1"/>
  <c r="N119" i="7"/>
  <c r="G119" i="7" s="1"/>
  <c r="N118" i="7"/>
  <c r="G118" i="7" s="1"/>
  <c r="N117" i="7"/>
  <c r="N114" i="7"/>
  <c r="N113" i="7"/>
  <c r="N112" i="7"/>
  <c r="N111" i="7"/>
  <c r="N106" i="7"/>
  <c r="N108" i="7"/>
  <c r="N110" i="7"/>
  <c r="N109" i="7"/>
  <c r="N107" i="7"/>
  <c r="N105" i="7"/>
  <c r="N104" i="7"/>
  <c r="G104" i="7" s="1"/>
  <c r="N103" i="7"/>
  <c r="G103" i="7" s="1"/>
  <c r="G102" i="7"/>
  <c r="N101" i="7"/>
  <c r="N100" i="7"/>
  <c r="G100" i="7" s="1"/>
  <c r="G99" i="7"/>
  <c r="N97" i="7"/>
  <c r="G97" i="7" s="1"/>
  <c r="G95" i="7"/>
  <c r="G94" i="7"/>
  <c r="N93" i="7"/>
  <c r="G93" i="7" s="1"/>
  <c r="N92" i="7"/>
  <c r="G92" i="7" s="1"/>
  <c r="N91" i="7"/>
  <c r="G91" i="7" s="1"/>
  <c r="N90" i="7"/>
  <c r="G90" i="7" s="1"/>
  <c r="N89" i="7"/>
  <c r="G89" i="7" s="1"/>
  <c r="N88" i="7"/>
  <c r="G88" i="7" s="1"/>
  <c r="N87" i="7"/>
  <c r="G87" i="7" s="1"/>
  <c r="G85" i="7"/>
  <c r="N74" i="7"/>
  <c r="G74" i="7" s="1"/>
  <c r="N84" i="7"/>
  <c r="N83" i="7"/>
  <c r="N82" i="7"/>
  <c r="N81" i="7"/>
  <c r="N80" i="7"/>
  <c r="N79" i="7"/>
  <c r="N78" i="7"/>
  <c r="N77" i="7"/>
  <c r="N76" i="7"/>
  <c r="N73" i="7"/>
  <c r="N72" i="7"/>
  <c r="G72" i="7" s="1"/>
  <c r="N71" i="7"/>
  <c r="N70" i="7"/>
  <c r="N69" i="7"/>
  <c r="N68" i="7"/>
  <c r="N67" i="7"/>
  <c r="N66" i="7"/>
  <c r="N65" i="7"/>
  <c r="N64" i="7"/>
  <c r="N62" i="7"/>
  <c r="N61" i="7"/>
  <c r="G61" i="7" s="1"/>
  <c r="N60" i="7"/>
  <c r="G60" i="7" s="1"/>
  <c r="N59" i="7"/>
  <c r="G59" i="7" s="1"/>
  <c r="N58" i="7"/>
  <c r="G58" i="7" s="1"/>
  <c r="G57" i="7"/>
  <c r="N56" i="7"/>
  <c r="G56" i="7" s="1"/>
  <c r="N54" i="7"/>
  <c r="G54" i="7" s="1"/>
  <c r="N53" i="7"/>
  <c r="G53" i="7" s="1"/>
  <c r="N52" i="7"/>
  <c r="N51" i="7"/>
  <c r="G51" i="7" s="1"/>
  <c r="N50" i="7"/>
  <c r="G50" i="7" s="1"/>
  <c r="N49" i="7"/>
  <c r="G49" i="7" s="1"/>
  <c r="N48" i="7"/>
  <c r="G48" i="7" s="1"/>
  <c r="G47" i="7"/>
  <c r="N46" i="7"/>
  <c r="G46" i="7" s="1"/>
  <c r="N45" i="7"/>
  <c r="G45" i="7" s="1"/>
  <c r="G44" i="7"/>
  <c r="N43" i="7"/>
  <c r="G43" i="7" s="1"/>
  <c r="N42" i="7"/>
  <c r="G42" i="7" s="1"/>
  <c r="N41" i="7"/>
  <c r="G41" i="7" s="1"/>
  <c r="N40" i="7"/>
  <c r="N39" i="7"/>
  <c r="N38" i="7"/>
  <c r="N37" i="7"/>
  <c r="N36" i="7"/>
  <c r="G36" i="7" s="1"/>
  <c r="N35" i="7"/>
  <c r="G35" i="7" s="1"/>
  <c r="N33" i="7"/>
  <c r="N32" i="7"/>
  <c r="G34" i="7"/>
  <c r="N31" i="7"/>
  <c r="N30" i="7"/>
  <c r="G30" i="7" s="1"/>
  <c r="N29" i="7"/>
  <c r="N28" i="7"/>
  <c r="N27" i="7"/>
  <c r="N26" i="7"/>
  <c r="D22" i="7" l="1"/>
  <c r="N609" i="7"/>
  <c r="G609" i="7"/>
  <c r="F14" i="7" s="1"/>
  <c r="F15" i="7" s="1"/>
  <c r="F20" i="7" s="1"/>
</calcChain>
</file>

<file path=xl/sharedStrings.xml><?xml version="1.0" encoding="utf-8"?>
<sst xmlns="http://schemas.openxmlformats.org/spreadsheetml/2006/main" count="2977" uniqueCount="1140">
  <si>
    <t xml:space="preserve">ОТЧЕТ «Подари детям Жизнь» </t>
  </si>
  <si>
    <t>Дети</t>
  </si>
  <si>
    <t>USD</t>
  </si>
  <si>
    <t>Имя</t>
  </si>
  <si>
    <t>Год рождения</t>
  </si>
  <si>
    <t>Диагноз</t>
  </si>
  <si>
    <t>Дата операции</t>
  </si>
  <si>
    <t>Клиника</t>
  </si>
  <si>
    <t>Стоимость операции USD</t>
  </si>
  <si>
    <t xml:space="preserve">Спонсоры </t>
  </si>
  <si>
    <t xml:space="preserve">Курс USD на день оплаты </t>
  </si>
  <si>
    <t xml:space="preserve">Курс валюты на день оплаты </t>
  </si>
  <si>
    <t>Дата оплаты</t>
  </si>
  <si>
    <t>Тулендиева Камила</t>
  </si>
  <si>
    <t>врожденная дисфункция коры надпочечников</t>
  </si>
  <si>
    <t>Корчагин Кирилл</t>
  </si>
  <si>
    <t>рубцовый стеноз пищевода</t>
  </si>
  <si>
    <t>Мамаев Эмиль</t>
  </si>
  <si>
    <t>органическое поражение головного мозга</t>
  </si>
  <si>
    <t>врожденный порок сердца</t>
  </si>
  <si>
    <t>дисплазия тазобедренного сустава левой стороны</t>
  </si>
  <si>
    <t>Жакиянов Ильдан</t>
  </si>
  <si>
    <t>гиперплазия щитовидной железы</t>
  </si>
  <si>
    <t>Канатбекова Аружан</t>
  </si>
  <si>
    <t>ретинопатия недоношенных</t>
  </si>
  <si>
    <t>166 000 RUB</t>
  </si>
  <si>
    <t>Динасилов Санжар</t>
  </si>
  <si>
    <t>АО «Самрук-Қазына»</t>
  </si>
  <si>
    <t>папилломатоз гортани</t>
  </si>
  <si>
    <t>ДЦП</t>
  </si>
  <si>
    <t>Матюшина Полина</t>
  </si>
  <si>
    <t>кифоз грудного отдела позвоночника, гигантоклеточная опухоль тела Th 9 позвонка</t>
  </si>
  <si>
    <t>Имансерик Ердаулет</t>
  </si>
  <si>
    <t>Алтай Арнат</t>
  </si>
  <si>
    <t>опухоль Вильмса</t>
  </si>
  <si>
    <t>Алматы, РДРЦ "Балбулак"</t>
  </si>
  <si>
    <t>Байсарин Али</t>
  </si>
  <si>
    <t>Мелис Аида</t>
  </si>
  <si>
    <t>Калиев Ержан</t>
  </si>
  <si>
    <t>Литвинова София</t>
  </si>
  <si>
    <t>Акжунис Рахат</t>
  </si>
  <si>
    <t>3 800 USD</t>
  </si>
  <si>
    <t>154 000 RUB</t>
  </si>
  <si>
    <t>Кожанов Ерасыл</t>
  </si>
  <si>
    <t>Джинджонг (Китай), Госпиталь Шанси</t>
  </si>
  <si>
    <t>Жусупбеков Ильяс</t>
  </si>
  <si>
    <t>Кан Андрей</t>
  </si>
  <si>
    <t>9 000 USD</t>
  </si>
  <si>
    <t>ретинобластома</t>
  </si>
  <si>
    <t>Жакыпова Зарема</t>
  </si>
  <si>
    <t>28 700 RUB</t>
  </si>
  <si>
    <t>Нуртай Руслана</t>
  </si>
  <si>
    <t>Киреевская Кира</t>
  </si>
  <si>
    <t>Богачев Тимофей</t>
  </si>
  <si>
    <t>Толеубеккызы Адия</t>
  </si>
  <si>
    <t>1 100 USD</t>
  </si>
  <si>
    <t>долларов США</t>
  </si>
  <si>
    <t>Гололобов Иван</t>
  </si>
  <si>
    <t>опухоль головного мозга</t>
  </si>
  <si>
    <t>ретинопатия</t>
  </si>
  <si>
    <t>Шыныбеков Ерболат</t>
  </si>
  <si>
    <t>"Центр Тяжести", 2009</t>
  </si>
  <si>
    <t>деньги собирались на ЦТ, фонд "ДОМ" оказывал консультационную поддержку родителям, поэтому мы не включаем эти средства в общую сумму по акции "Подари детям жизнь"</t>
  </si>
  <si>
    <t>Кабдолов Мерали</t>
  </si>
  <si>
    <t>Исканова Ралина</t>
  </si>
  <si>
    <t>EUR</t>
  </si>
  <si>
    <t>Всего детей</t>
  </si>
  <si>
    <t>Акжол Амина</t>
  </si>
  <si>
    <t>врожденная катаракта</t>
  </si>
  <si>
    <t>Юньчень, госпиталь исследовательского института</t>
  </si>
  <si>
    <t>стеноз гортани</t>
  </si>
  <si>
    <t>Балташова Айдана</t>
  </si>
  <si>
    <t>Мустафазаде Абукар</t>
  </si>
  <si>
    <t>врожденный порок сердца с высокой легочной гипертензией.</t>
  </si>
  <si>
    <t>1 300 USD</t>
  </si>
  <si>
    <t>Камерденова Ясмин</t>
  </si>
  <si>
    <t>Харбин (Китай), Реабилитационный центр</t>
  </si>
  <si>
    <t>Ермек Балнур</t>
  </si>
  <si>
    <t>7 000 USD</t>
  </si>
  <si>
    <t>2 000 USD</t>
  </si>
  <si>
    <t>Сатыбалдиева Раида</t>
  </si>
  <si>
    <t>3 000 USD</t>
  </si>
  <si>
    <t>Галата Милана</t>
  </si>
  <si>
    <t>8 380 USD</t>
  </si>
  <si>
    <t>Абенова Аяжан</t>
  </si>
  <si>
    <t>Абенова Аружан</t>
  </si>
  <si>
    <t>97 500 RUB</t>
  </si>
  <si>
    <t>Куандык Инабат</t>
  </si>
  <si>
    <t>Сарсамбекулы Кайыржан</t>
  </si>
  <si>
    <t>1 700 USD</t>
  </si>
  <si>
    <t>Стамбул (Турция), Medical Park Saglik Hizmetteri A.S.</t>
  </si>
  <si>
    <t>Дели (Индия), Клиника Фортис</t>
  </si>
  <si>
    <t>Самара, Реацентр "Самара"</t>
  </si>
  <si>
    <t>Мухтарова Анита</t>
  </si>
  <si>
    <t>Смирнова Анастасия</t>
  </si>
  <si>
    <t>4 000 USD</t>
  </si>
  <si>
    <t>Челябинск,ООО Медицинский центр Сакура</t>
  </si>
  <si>
    <t>2014, доплата</t>
  </si>
  <si>
    <t>5 000 USD</t>
  </si>
  <si>
    <t>1 500 USD</t>
  </si>
  <si>
    <t>2 500 USD</t>
  </si>
  <si>
    <t>Трускавец, Международная клиника восст.лечения</t>
  </si>
  <si>
    <t>Сеул (Корея), Клиника Lim Dong</t>
  </si>
  <si>
    <t>Кушенева Камила</t>
  </si>
  <si>
    <t>ООО Реацентр Оренбуржье, Оренбург</t>
  </si>
  <si>
    <t>ООО Реацентр Самара, Самара</t>
  </si>
  <si>
    <t>Москва, НИИ нейрохирургии</t>
  </si>
  <si>
    <t>Жахин Жанат</t>
  </si>
  <si>
    <t>6 000 USD</t>
  </si>
  <si>
    <t>Кенжебай Айым</t>
  </si>
  <si>
    <t>Абдрахманов Алишер</t>
  </si>
  <si>
    <t>Беда Кирилл</t>
  </si>
  <si>
    <t>6 500 USD</t>
  </si>
  <si>
    <t>168 600 RUB</t>
  </si>
  <si>
    <t>Солдатов Никита</t>
  </si>
  <si>
    <t>Сеул, (Корея). Клиника Lim Dong</t>
  </si>
  <si>
    <t>Сексенбай Ильяс</t>
  </si>
  <si>
    <t>Сексенбай Усман</t>
  </si>
  <si>
    <t>пересадка почек</t>
  </si>
  <si>
    <t>Казбек Гаухар</t>
  </si>
  <si>
    <t>Мусанова Севиль</t>
  </si>
  <si>
    <t>Базарбай Назерке</t>
  </si>
  <si>
    <t>Нуранова Томирис</t>
  </si>
  <si>
    <t>Сиянь Брайн, Пекин</t>
  </si>
  <si>
    <t>Гусманов Арлен</t>
  </si>
  <si>
    <t>Гусманов Арсен</t>
  </si>
  <si>
    <t>Гафиятулин Мансурали</t>
  </si>
  <si>
    <t>170 000 RUB</t>
  </si>
  <si>
    <t>Ягудина Яна</t>
  </si>
  <si>
    <t>эпилепсия, резистентная к терапии со снижением интеллекта</t>
  </si>
  <si>
    <t>Пайл Абдигани</t>
  </si>
  <si>
    <t>ЗАО Институт клинической реабилитологии</t>
  </si>
  <si>
    <t>ПДЖ</t>
  </si>
  <si>
    <t>Бурдакова Виктория</t>
  </si>
  <si>
    <t>Нейроинфекция</t>
  </si>
  <si>
    <t>УФК по Томской области ФГБУ НИИ кардиологии СО РАМН</t>
  </si>
  <si>
    <t>Сумма в тенге</t>
  </si>
  <si>
    <t>Горвард Владислав</t>
  </si>
  <si>
    <t>Берикбай Мерей</t>
  </si>
  <si>
    <t>симптомическая эпилепсия</t>
  </si>
  <si>
    <t>1 800 USD</t>
  </si>
  <si>
    <t>8 000 USD</t>
  </si>
  <si>
    <t>Хасенов Алдияр</t>
  </si>
  <si>
    <t>Врожденная аномалия развития левой кисти</t>
  </si>
  <si>
    <t>ФГБУ им.Г.И.Турнера, Минздрава России</t>
  </si>
  <si>
    <t>ООО Кия</t>
  </si>
  <si>
    <t>артрогрипоз верхних конечностей</t>
  </si>
  <si>
    <t>5 800 USD</t>
  </si>
  <si>
    <t>Саген Амина</t>
  </si>
  <si>
    <t>Демидов Тихон</t>
  </si>
  <si>
    <t>Сагындык Айша</t>
  </si>
  <si>
    <t>Черанев Максим</t>
  </si>
  <si>
    <t>Рогова Дарья</t>
  </si>
  <si>
    <t>3 994 USD</t>
  </si>
  <si>
    <t>Григорьева Вероника</t>
  </si>
  <si>
    <t>УФК по Ленинградской обл. ЛОГБУЗ</t>
  </si>
  <si>
    <t>Рахымжанова Айгерим</t>
  </si>
  <si>
    <t>Потапов Дмитрий</t>
  </si>
  <si>
    <t>кистозное образование</t>
  </si>
  <si>
    <t>Галиев Алимжан</t>
  </si>
  <si>
    <t>МТС поражение лимфоузлов</t>
  </si>
  <si>
    <t>5 500 USD</t>
  </si>
  <si>
    <t>Сагинтаев Тимур</t>
  </si>
  <si>
    <t>Смирнов Максим</t>
  </si>
  <si>
    <t>ООО Реацентр Астрахань</t>
  </si>
  <si>
    <t>Осипенко Ярослав</t>
  </si>
  <si>
    <t>Хорошунова Алина</t>
  </si>
  <si>
    <t>ЗАО Самарский Терапевтический Комплекс Реацентр</t>
  </si>
  <si>
    <t>Пронькин Александр</t>
  </si>
  <si>
    <t>ООО ПрогнозМед</t>
  </si>
  <si>
    <t>Буртаева Аида</t>
  </si>
  <si>
    <t>ВПС</t>
  </si>
  <si>
    <t>Коржов Серафим</t>
  </si>
  <si>
    <t>Asklepios Klinik GmbH</t>
  </si>
  <si>
    <t xml:space="preserve"> 70 000 RUB</t>
  </si>
  <si>
    <t xml:space="preserve"> 146 300 RUB</t>
  </si>
  <si>
    <t>Смат Аруназ</t>
  </si>
  <si>
    <t>7 787 USD</t>
  </si>
  <si>
    <t>Кол-во операций в 2015</t>
  </si>
  <si>
    <t>Кол-во операций 2007 -2015</t>
  </si>
  <si>
    <t>ВСЕГО ПО АКЦИИ "ПОДАРИ ДЕТЯМ ЖИЗНЬ" 2007 - 2015</t>
  </si>
  <si>
    <t>2015, 2 курс/леч.</t>
  </si>
  <si>
    <t>7 997 USD</t>
  </si>
  <si>
    <t>2015, 3 курс/леч.</t>
  </si>
  <si>
    <t>Сериккали Али</t>
  </si>
  <si>
    <t xml:space="preserve"> 88 123,66 RUB</t>
  </si>
  <si>
    <t>за 2014, доплата</t>
  </si>
  <si>
    <t>Рыбальченко Артем</t>
  </si>
  <si>
    <t>плоско-вальгусная деформация стоп</t>
  </si>
  <si>
    <t>Стамбул (Турция), Akkor Saglik Hizmetteri ve Tic A.S.</t>
  </si>
  <si>
    <t>ВСЕГО ЗА 2015</t>
  </si>
  <si>
    <t>Кайыржан Арманай</t>
  </si>
  <si>
    <t>СПБ ГУЗ Детская городская больница 19 им. К.А.Раухфуса</t>
  </si>
  <si>
    <t xml:space="preserve"> 101 475 RUB</t>
  </si>
  <si>
    <t xml:space="preserve"> 49 014 RUB</t>
  </si>
  <si>
    <t>2015, 2 операция</t>
  </si>
  <si>
    <t>ГБОУ ВПО СПбГПМУ Минздрава России</t>
  </si>
  <si>
    <t>2015, доплата</t>
  </si>
  <si>
    <t>Саген Айша</t>
  </si>
  <si>
    <t>Баткен Нурали</t>
  </si>
  <si>
    <t>ООО Огонек-ЭС</t>
  </si>
  <si>
    <t xml:space="preserve"> 200 000 RUB</t>
  </si>
  <si>
    <t>Алибек Аманат</t>
  </si>
  <si>
    <t xml:space="preserve"> 141 550 RUB</t>
  </si>
  <si>
    <t xml:space="preserve"> 191 500 RUB</t>
  </si>
  <si>
    <t xml:space="preserve"> 35 250 RUB</t>
  </si>
  <si>
    <t xml:space="preserve"> 157 100 RUB</t>
  </si>
  <si>
    <t>2015, 4 курс/леч.</t>
  </si>
  <si>
    <t>Карабеков Даниял</t>
  </si>
  <si>
    <t xml:space="preserve"> 45 050 RUB</t>
  </si>
  <si>
    <t xml:space="preserve"> 115 100 RUB</t>
  </si>
  <si>
    <t>Анетов Ануар</t>
  </si>
  <si>
    <t xml:space="preserve"> 130 450 RUB</t>
  </si>
  <si>
    <t>Боранбай Арсен</t>
  </si>
  <si>
    <t>3 965 USD</t>
  </si>
  <si>
    <t xml:space="preserve"> 185 000 RUB</t>
  </si>
  <si>
    <t xml:space="preserve"> 122 700 RUB</t>
  </si>
  <si>
    <t>Болаткан Акерке</t>
  </si>
  <si>
    <t xml:space="preserve"> 143 600 RUB</t>
  </si>
  <si>
    <t>Казбеков Жан</t>
  </si>
  <si>
    <t xml:space="preserve"> 133 400 RUB</t>
  </si>
  <si>
    <t>Атаканова Инара</t>
  </si>
  <si>
    <t xml:space="preserve"> 148 600 RUB</t>
  </si>
  <si>
    <t>Байгелова Каусар</t>
  </si>
  <si>
    <t xml:space="preserve"> 173 500 RUB</t>
  </si>
  <si>
    <t>Емельянова Анастасия</t>
  </si>
  <si>
    <t>ООО АКАДЕМИЯ  ЗДОРОВЬЯ</t>
  </si>
  <si>
    <t xml:space="preserve"> 128 500 RUB</t>
  </si>
  <si>
    <t>Бакыткали Медина</t>
  </si>
  <si>
    <t>образование левого полушария мозжечка</t>
  </si>
  <si>
    <t>Жаксылык Мариям</t>
  </si>
  <si>
    <t>3 998 USD</t>
  </si>
  <si>
    <t>Амантай Айша</t>
  </si>
  <si>
    <t>Наразбай Дияс</t>
  </si>
  <si>
    <t>Нурахан Алишер</t>
  </si>
  <si>
    <t>Болеген Нурали</t>
  </si>
  <si>
    <t>Аманкельдиев Сартай</t>
  </si>
  <si>
    <t xml:space="preserve"> 3 926,4 ЕUR</t>
  </si>
  <si>
    <t>Реабилитационный центр "Адели"."ADELI" s.r.o.Словакия.</t>
  </si>
  <si>
    <t>ПДЖ - Microsoft</t>
  </si>
  <si>
    <t>ООО Октамед</t>
  </si>
  <si>
    <t>Мейрхан Нурдаулет</t>
  </si>
  <si>
    <t>Каламбаев Жанибек</t>
  </si>
  <si>
    <t>Агатай Томирис</t>
  </si>
  <si>
    <t>Рахимберлина Медина</t>
  </si>
  <si>
    <t>3 995 USD</t>
  </si>
  <si>
    <t>Рязанов Андрей</t>
  </si>
  <si>
    <t>3 992 USD</t>
  </si>
  <si>
    <t>Кожахан Галымжан</t>
  </si>
  <si>
    <t xml:space="preserve"> 218 290 RUB</t>
  </si>
  <si>
    <t>Куатбеккызы Айдана</t>
  </si>
  <si>
    <t>артеро-венозная мальфармация головного мозга</t>
  </si>
  <si>
    <t>ФГБУ ННИИПК им.акад. Е.Н.Мешалкина МЗ России л/сч 20516Х68950</t>
  </si>
  <si>
    <t>АНО Клиника травматологии, ортопедии и нейрохирургии НИИТО</t>
  </si>
  <si>
    <t>Жанбыршы Рамазан</t>
  </si>
  <si>
    <t>20 100 CNY</t>
  </si>
  <si>
    <t>Асылхан Даниса</t>
  </si>
  <si>
    <t>Бертай Дария</t>
  </si>
  <si>
    <t>Алпамыс Омар</t>
  </si>
  <si>
    <t>Дюсембек Айдана</t>
  </si>
  <si>
    <t>Екпинов Алишер</t>
  </si>
  <si>
    <t>Мадиярулы Мухаммадахмад</t>
  </si>
  <si>
    <t>Ибрагимов Мухаммедали</t>
  </si>
  <si>
    <t>Ибрагимов Имманали</t>
  </si>
  <si>
    <t>Павлова Валерия</t>
  </si>
  <si>
    <t>ФГБУ НИДОИ им.Г.И.Турнера МЗ России л/сч 20726Х21330</t>
  </si>
  <si>
    <t xml:space="preserve"> 294 350 RUB</t>
  </si>
  <si>
    <t>синдактелия</t>
  </si>
  <si>
    <t>спонсор - Компания КазМунайГаз</t>
  </si>
  <si>
    <t>Несчанский Андрей</t>
  </si>
  <si>
    <t>лимфомаБеркитта с лейкемизацией</t>
  </si>
  <si>
    <t>Azienda Ospedaliera di Padova</t>
  </si>
  <si>
    <t>Узах Науран</t>
  </si>
  <si>
    <t xml:space="preserve"> 116 750 RUB</t>
  </si>
  <si>
    <t>Кабылбек Лана</t>
  </si>
  <si>
    <t>Маратов Асылтан</t>
  </si>
  <si>
    <t>Айгожа Даниял</t>
  </si>
  <si>
    <t xml:space="preserve"> 84 031,66 RUB</t>
  </si>
  <si>
    <t>Жанбакиев Амирхан</t>
  </si>
  <si>
    <t xml:space="preserve"> 88 034,66 RUB</t>
  </si>
  <si>
    <t>Мутошвили Мухаммад</t>
  </si>
  <si>
    <t>Тахирова Чарос</t>
  </si>
  <si>
    <t>Кенжешов Ислам</t>
  </si>
  <si>
    <t>1 900 USD</t>
  </si>
  <si>
    <t>Всего со счёта ОФ "ДОМ" 2007 - 2015</t>
  </si>
  <si>
    <t>пересадка печени</t>
  </si>
  <si>
    <t>Талгат Амина</t>
  </si>
  <si>
    <t>1 000 USD</t>
  </si>
  <si>
    <t>Ескара Ернар</t>
  </si>
  <si>
    <t>остеохондропатия головки правой бедренной кости</t>
  </si>
  <si>
    <t>Kadikoy sifa hastanesi A.S.</t>
  </si>
  <si>
    <t>Кармысов Амир</t>
  </si>
  <si>
    <t>Ситенбетова Дамелли</t>
  </si>
  <si>
    <t>ВПС. Тетрада Фалло</t>
  </si>
  <si>
    <t xml:space="preserve"> 500 000 RUB</t>
  </si>
  <si>
    <t xml:space="preserve"> 340 140 RUB</t>
  </si>
  <si>
    <t>Шильке Арнольд</t>
  </si>
  <si>
    <t xml:space="preserve"> 131 350 RUB</t>
  </si>
  <si>
    <t>2015, 3 курс/леч</t>
  </si>
  <si>
    <t>Партнёры (фонды и компании), 2007- 2010</t>
  </si>
  <si>
    <t>"Российский фонд Помощи", 2009-2010</t>
  </si>
  <si>
    <t>Частные спонсоры, 2007-2012</t>
  </si>
  <si>
    <t>Бекбоосунов Райымбек</t>
  </si>
  <si>
    <t xml:space="preserve"> 54 102 RUB</t>
  </si>
  <si>
    <t xml:space="preserve"> 22 860 RUB</t>
  </si>
  <si>
    <t>Кудинова Ангелина</t>
  </si>
  <si>
    <t>врожденный буллезный эпидормолиз</t>
  </si>
  <si>
    <t>УФК по г.Москва (ФГБУ НЦЗД РАМН)</t>
  </si>
  <si>
    <t xml:space="preserve">Парфенова Анастасия </t>
  </si>
  <si>
    <t>Куандыков Ильяс</t>
  </si>
  <si>
    <t>Бейбит Ильяс</t>
  </si>
  <si>
    <t>Тулеубаев Амирхан</t>
  </si>
  <si>
    <t>Климова Дарья</t>
  </si>
  <si>
    <t>ООО Реацентр Челябинский</t>
  </si>
  <si>
    <t xml:space="preserve"> 74 250 RUB</t>
  </si>
  <si>
    <t>Щербань Алексей</t>
  </si>
  <si>
    <t xml:space="preserve"> ГБУЗСамарский областной клинический кардиологический диспансер</t>
  </si>
  <si>
    <t>врожденный сколиоз грудного отдела</t>
  </si>
  <si>
    <t>ВПС (врожденный порок сердца)</t>
  </si>
  <si>
    <t>Морозова Анастасия</t>
  </si>
  <si>
    <t>Fondation Asile des aveugles</t>
  </si>
  <si>
    <t xml:space="preserve"> 9 000 ЕUR</t>
  </si>
  <si>
    <t>Ахметкарим Акниет</t>
  </si>
  <si>
    <t>Шаглий Артем</t>
  </si>
  <si>
    <t>Жумабек Ералы</t>
  </si>
  <si>
    <t xml:space="preserve"> 135 700 RUB</t>
  </si>
  <si>
    <t>Есжанов Мансур</t>
  </si>
  <si>
    <t xml:space="preserve"> 138 400 RUB</t>
  </si>
  <si>
    <t>Арзяева Яна</t>
  </si>
  <si>
    <t>ООО Реабилитационный центр Сакура</t>
  </si>
  <si>
    <t xml:space="preserve"> 147 600 RUB</t>
  </si>
  <si>
    <t>Тарасенко Исмаил</t>
  </si>
  <si>
    <t>ООО Медицинский центр Сакура</t>
  </si>
  <si>
    <t>Бекова Камилла</t>
  </si>
  <si>
    <t>ООО Кортексмед</t>
  </si>
  <si>
    <t xml:space="preserve"> 76 012,66 RUB</t>
  </si>
  <si>
    <t>Кишыбай Мейрлан</t>
  </si>
  <si>
    <t xml:space="preserve"> 98 389,66 RUB</t>
  </si>
  <si>
    <t>болезнь Белла</t>
  </si>
  <si>
    <t>Карлова Валерия</t>
  </si>
  <si>
    <t>Балакишиева София</t>
  </si>
  <si>
    <t>талассемия</t>
  </si>
  <si>
    <t xml:space="preserve"> 4 187,59 ЕUR</t>
  </si>
  <si>
    <t>Казтаев Алмат</t>
  </si>
  <si>
    <t>Limited Liability Company International Clinic of Rehabilition Ukraine</t>
  </si>
  <si>
    <t xml:space="preserve"> 2 982 ЕUR</t>
  </si>
  <si>
    <t>Попов Ильдар</t>
  </si>
  <si>
    <t>Centrum Inensywnej Terapii OLINEK</t>
  </si>
  <si>
    <t>Масалимов Ернар</t>
  </si>
  <si>
    <t>Казанцева Анна</t>
  </si>
  <si>
    <t>УФК по г.Москва (ФГБУ РДКБ МЗ России)</t>
  </si>
  <si>
    <t>Калин Нурталас</t>
  </si>
  <si>
    <t>Beijing shouer liqiao childrens hospital CO LTD</t>
  </si>
  <si>
    <t>Габдулова Инжу</t>
  </si>
  <si>
    <t>23 100 CNY</t>
  </si>
  <si>
    <t>Габдулов Мухтар</t>
  </si>
  <si>
    <t>Пердебекова Тахмина</t>
  </si>
  <si>
    <t>УФК по Томской обл. ФГБУ НИИ кардиологии СО РАМН</t>
  </si>
  <si>
    <t>4 000 RUB</t>
  </si>
  <si>
    <t>Буралкиев Нурсултан</t>
  </si>
  <si>
    <t>Кадырбек Аяла</t>
  </si>
  <si>
    <t xml:space="preserve">Сабыржанов Ахмет </t>
  </si>
  <si>
    <t>Hisar Saglik Hizmetleri Egitim Arasttirma Tibbi Cihazlar Ticaret A.S.</t>
  </si>
  <si>
    <t>629 USD</t>
  </si>
  <si>
    <t>Байжанов Ади</t>
  </si>
  <si>
    <t>Сериков Санжар</t>
  </si>
  <si>
    <t>Шарапиденова Аружан</t>
  </si>
  <si>
    <t xml:space="preserve"> 3 467 ЕUR</t>
  </si>
  <si>
    <t>299 792 KZT</t>
  </si>
  <si>
    <t>349 301 KZT</t>
  </si>
  <si>
    <t>дисфункция коры надпочечников</t>
  </si>
  <si>
    <t>порэнцефолитическая киста правого полушария</t>
  </si>
  <si>
    <t>термический ожог</t>
  </si>
  <si>
    <t>Medical Travel Agency Termalkurort s.r.o.</t>
  </si>
  <si>
    <t>Айтбагин Артем</t>
  </si>
  <si>
    <t>очаговое изменение белого вещества полушарий головного мозга</t>
  </si>
  <si>
    <t>Medipolitan Saglik Hizmetleri AS.</t>
  </si>
  <si>
    <t>5 400 USD</t>
  </si>
  <si>
    <t>Бакбергенулы Мустафа</t>
  </si>
  <si>
    <t>Бакбергенулы Журсин</t>
  </si>
  <si>
    <t>несовершенный остеогенез</t>
  </si>
  <si>
    <t>Брусенская София</t>
  </si>
  <si>
    <t>8 300 USD</t>
  </si>
  <si>
    <t>23.04.1015</t>
  </si>
  <si>
    <t>2015, 9 курс/лечения</t>
  </si>
  <si>
    <t>УФК по г.Москве ФГБУ РНЦРР МЗ России</t>
  </si>
  <si>
    <t>83 050 RUB</t>
  </si>
  <si>
    <t>Хасенов Жангир</t>
  </si>
  <si>
    <t>Хасенов Мансур</t>
  </si>
  <si>
    <t>Марат Айзере</t>
  </si>
  <si>
    <t>Толкачев Дмитрий</t>
  </si>
  <si>
    <t>ООО Академия Здоровья</t>
  </si>
  <si>
    <t>206 500 RUB</t>
  </si>
  <si>
    <t>объемное образование основания черепа, хордома</t>
  </si>
  <si>
    <t>4 650 USD</t>
  </si>
  <si>
    <t>Досмаханбет Каракат</t>
  </si>
  <si>
    <t>309 042 KZT</t>
  </si>
  <si>
    <t>Хафизов Тимур</t>
  </si>
  <si>
    <t>закрытая тежелая черепно-мозговая травма</t>
  </si>
  <si>
    <t>227 480 RUB</t>
  </si>
  <si>
    <t>Мураткызы Медина</t>
  </si>
  <si>
    <t>Жумаш Алижан</t>
  </si>
  <si>
    <t xml:space="preserve">Кумисбек Омирбек </t>
  </si>
  <si>
    <t>состояние после перенесенного острого эпифизарного гематогенного остеомелита</t>
  </si>
  <si>
    <t>УФК по г.Санкт-Петербургу ФГБУ НИДОИ им. Турнера МЗ России</t>
  </si>
  <si>
    <t>206 000 RUB</t>
  </si>
  <si>
    <t>УФК по г.Москве ФГБУ РДКБ МЗ России</t>
  </si>
  <si>
    <t>106 000 RUB</t>
  </si>
  <si>
    <t>5 866 USD</t>
  </si>
  <si>
    <t>3 831 USD</t>
  </si>
  <si>
    <t>4 070 USD</t>
  </si>
  <si>
    <t>Калкаман Куралай</t>
  </si>
  <si>
    <t>150 400 RUB</t>
  </si>
  <si>
    <t>Тюлюмбаева Милана</t>
  </si>
  <si>
    <t>163 150 RUB</t>
  </si>
  <si>
    <t>121 200 RUB</t>
  </si>
  <si>
    <t>Серик Дильназ</t>
  </si>
  <si>
    <t>115 550 RUB</t>
  </si>
  <si>
    <t>Абылхайырулы Абдулхамид</t>
  </si>
  <si>
    <t>140 250 RUB</t>
  </si>
  <si>
    <t>Толеген Райымбек</t>
  </si>
  <si>
    <t>137 850 RUB</t>
  </si>
  <si>
    <t>Турсунгали Мади</t>
  </si>
  <si>
    <t>110 350 RUB</t>
  </si>
  <si>
    <t>Айдынбай Айша</t>
  </si>
  <si>
    <t>127 550 RUB</t>
  </si>
  <si>
    <t>Бергельды Жания</t>
  </si>
  <si>
    <t>138 250 RUB</t>
  </si>
  <si>
    <t>Супиев Эльмин</t>
  </si>
  <si>
    <t>2015, 4 операция</t>
  </si>
  <si>
    <t>Айдарбек Ажар</t>
  </si>
  <si>
    <t>3 956 USD</t>
  </si>
  <si>
    <t xml:space="preserve"> Саркыт Мухамедали </t>
  </si>
  <si>
    <t>2 300 USD</t>
  </si>
  <si>
    <t>Салих Амина</t>
  </si>
  <si>
    <t>Козлова Вероника</t>
  </si>
  <si>
    <t>врожденный кифосколиоз 3-4 стадия диастематомиелия грудного отдела</t>
  </si>
  <si>
    <t>Bilesim Turizm ins.san.ve tic A.S.</t>
  </si>
  <si>
    <t>Шекеева Айнур</t>
  </si>
  <si>
    <t xml:space="preserve">Beijing Liming Hospital </t>
  </si>
  <si>
    <t>3 609 USD</t>
  </si>
  <si>
    <t>Рустем Айару</t>
  </si>
  <si>
    <t>папилломатоз гортани, рецедивирующее лечение</t>
  </si>
  <si>
    <t>189 538,32 RUB</t>
  </si>
  <si>
    <t>Омартаев Асанали</t>
  </si>
  <si>
    <t>Рубцовый стеноз средней трети пищевода</t>
  </si>
  <si>
    <t>Бисембайулы Адильхан</t>
  </si>
  <si>
    <t>Ангиопатия сетчатки</t>
  </si>
  <si>
    <t> Вторичная окклюзивная гидроцефалия субкомпенсированная форма.</t>
  </si>
  <si>
    <t>2015, 3 операция</t>
  </si>
  <si>
    <t>169 350 RUB</t>
  </si>
  <si>
    <t>Папиломатоз гортани,рецедивирующее лечение</t>
  </si>
  <si>
    <t>УФК по г.Санкт-Петербургу ОФК10, ФГБУ С3ФМИЦ МЗ России</t>
  </si>
  <si>
    <t>Толеген Алихан</t>
  </si>
  <si>
    <t>Лейкодистрофия</t>
  </si>
  <si>
    <t>Тукушев Ансар</t>
  </si>
  <si>
    <t>Yuncheng city second peoples hospital of yanhu district</t>
  </si>
  <si>
    <t xml:space="preserve">Yuncheng research institute of scalp hospital </t>
  </si>
  <si>
    <t>Мухамбеткали Алихан</t>
  </si>
  <si>
    <t>Сансызбай Амирхан</t>
  </si>
  <si>
    <t>Зареева София</t>
  </si>
  <si>
    <t>126 250 RUB</t>
  </si>
  <si>
    <t>Елден Бакдаулет</t>
  </si>
  <si>
    <t>124 900 RUB</t>
  </si>
  <si>
    <t>Докучаев Марьян</t>
  </si>
  <si>
    <t>96 500 RUB</t>
  </si>
  <si>
    <t>Панкратова Маргарита</t>
  </si>
  <si>
    <t>146 800 RUB</t>
  </si>
  <si>
    <t>Фахлулов Рафет</t>
  </si>
  <si>
    <t>Xi An Brain Disease Hospital Of TCM</t>
  </si>
  <si>
    <t>Курышбекова Айзере</t>
  </si>
  <si>
    <t>Барановская Дарья</t>
  </si>
  <si>
    <t>Мустопуло Исаак</t>
  </si>
  <si>
    <t>Даут Руслан</t>
  </si>
  <si>
    <t>Тулегенова Айсултан</t>
  </si>
  <si>
    <t>3 150 USD</t>
  </si>
  <si>
    <t>Васильев Илья</t>
  </si>
  <si>
    <t>ХПН 5 стадия,терминальная стадия,синдром Сагликера</t>
  </si>
  <si>
    <t>Жунисхан Толганай</t>
  </si>
  <si>
    <t>150 200 RUB</t>
  </si>
  <si>
    <t>Кумарбеков Жигер</t>
  </si>
  <si>
    <t>Алибеков Аймен</t>
  </si>
  <si>
    <t>Пышин Владислав</t>
  </si>
  <si>
    <t>Даулетканкызы Диляра</t>
  </si>
  <si>
    <t>Е06.3,аутоимунный тиреоидит</t>
  </si>
  <si>
    <t>БУЗОО ОКБ</t>
  </si>
  <si>
    <t>33 550 RUB</t>
  </si>
  <si>
    <t>Рахметжанов Карим</t>
  </si>
  <si>
    <t>141 750 RUB</t>
  </si>
  <si>
    <t>Шепетовский Руслан</t>
  </si>
  <si>
    <t>Турубеков Данияр</t>
  </si>
  <si>
    <t>Кутнов Никита</t>
  </si>
  <si>
    <t>Кутнов Данил</t>
  </si>
  <si>
    <t>Жакаева Адия</t>
  </si>
  <si>
    <t>ГБУЗ Самарский областной клинический кардиологический диспансер</t>
  </si>
  <si>
    <t>266 748 RUB</t>
  </si>
  <si>
    <t>Местной Рустам</t>
  </si>
  <si>
    <t>138 750 RUB</t>
  </si>
  <si>
    <t xml:space="preserve">ФГБУ НИДОИ им.Г.И.Турнера МЗ России </t>
  </si>
  <si>
    <t>115 600 RUB</t>
  </si>
  <si>
    <t>Даулеткелдиулы Динмухамед</t>
  </si>
  <si>
    <t>1 604 USD</t>
  </si>
  <si>
    <t>Токенов Ансар</t>
  </si>
  <si>
    <t>Шакирбай Айша</t>
  </si>
  <si>
    <t>84 472,33 RUB</t>
  </si>
  <si>
    <t>Утепов Ахмет Али</t>
  </si>
  <si>
    <t>Дуйсенбай Сандугаш</t>
  </si>
  <si>
    <t>Темирболат Темиржан</t>
  </si>
  <si>
    <t>Нейробластома забрюшинного пространства,4 стадия</t>
  </si>
  <si>
    <t>2 800 USD</t>
  </si>
  <si>
    <t>82 445,49 RUB</t>
  </si>
  <si>
    <t>Кумисбек Абилмансур</t>
  </si>
  <si>
    <t>Севестрация и кистообразование желудочков мозга</t>
  </si>
  <si>
    <t>Хамит Асылбек</t>
  </si>
  <si>
    <t>Паппиломатоз гортани</t>
  </si>
  <si>
    <t>Ясинский Кирилл</t>
  </si>
  <si>
    <t>Бронхиальная астма,тяжелое течение,ДН-1-2 степени</t>
  </si>
  <si>
    <t>Бекен Улар</t>
  </si>
  <si>
    <t>139 550 RUB</t>
  </si>
  <si>
    <t>Омирбек Ансар</t>
  </si>
  <si>
    <t>3 190 USD</t>
  </si>
  <si>
    <t>Кавернозная гемангиома</t>
  </si>
  <si>
    <t>2015, 5 операция</t>
  </si>
  <si>
    <t>1 200 USD</t>
  </si>
  <si>
    <t>Усенов Жаксылык</t>
  </si>
  <si>
    <t>Дефек ткани верхней челюсти,носа,твердого неба после тотального некроза вследствии ишемии</t>
  </si>
  <si>
    <t xml:space="preserve">  442 ЕUR</t>
  </si>
  <si>
    <t>Липомиеломенингоцеле с субтотальным удалением интра-экстрадуальной липомы. Миелопатия </t>
  </si>
  <si>
    <t>ЗПР,симптоматическая эпилепсия</t>
  </si>
  <si>
    <t>Бакиров Бейбит</t>
  </si>
  <si>
    <t>РГКП РДРЦ "Балбулак" МЗ РК</t>
  </si>
  <si>
    <t>Частное пожертвование Н.А.Назарбаева</t>
  </si>
  <si>
    <t>Амангельдин Санжар</t>
  </si>
  <si>
    <t>128 250 RUB</t>
  </si>
  <si>
    <t>Камерденов Камильжан</t>
  </si>
  <si>
    <t xml:space="preserve"> 3 465 ЕUR</t>
  </si>
  <si>
    <t xml:space="preserve"> 3 760 ЕUR</t>
  </si>
  <si>
    <t>Нариманова Азиза</t>
  </si>
  <si>
    <t>97 619,49 RUB</t>
  </si>
  <si>
    <t>84 772,49 RUB</t>
  </si>
  <si>
    <t>Тельман Толагай</t>
  </si>
  <si>
    <t>129 500 RUB</t>
  </si>
  <si>
    <t>Сюсин Иван</t>
  </si>
  <si>
    <t>135 600 RUB</t>
  </si>
  <si>
    <t>Жанатбекова Айымжан</t>
  </si>
  <si>
    <t>129 200 RUB</t>
  </si>
  <si>
    <t>Жумабай Алихан</t>
  </si>
  <si>
    <t>Бекенова Амина</t>
  </si>
  <si>
    <t xml:space="preserve"> 4 037 ЕUR</t>
  </si>
  <si>
    <t>Нугуманов Абильмансур</t>
  </si>
  <si>
    <t>9 778 CNY</t>
  </si>
  <si>
    <t>Тлеукен Фатима</t>
  </si>
  <si>
    <t>5 300 USD</t>
  </si>
  <si>
    <t>Амиржан Гани</t>
  </si>
  <si>
    <t> ВПС,атрезия легочной артерии 4 типа,СН ФК4.</t>
  </si>
  <si>
    <t>Government institution The scien-pract childrens cardiac center</t>
  </si>
  <si>
    <t xml:space="preserve"> 1 103,71 ЕUR</t>
  </si>
  <si>
    <t>186,05</t>
  </si>
  <si>
    <t>213,06</t>
  </si>
  <si>
    <t>2015, 7 курс/леч.</t>
  </si>
  <si>
    <t>БУЗОО Областная детская клиническая больница</t>
  </si>
  <si>
    <t>9 560 RUB</t>
  </si>
  <si>
    <t>3 236 USD</t>
  </si>
  <si>
    <t>Балыкбаев Султан</t>
  </si>
  <si>
    <t>Новообразование ствола головного мозга</t>
  </si>
  <si>
    <t>Врожденный пузырно-мочеточниковый рефлюкс 2 степени</t>
  </si>
  <si>
    <t>Ертай Жансери</t>
  </si>
  <si>
    <t>Бутанов Шерали</t>
  </si>
  <si>
    <t>Юсупова Дильноза</t>
  </si>
  <si>
    <t>Даулетхан Енлик</t>
  </si>
  <si>
    <t>Болатхан Фатима</t>
  </si>
  <si>
    <t>Болатхан Батыр</t>
  </si>
  <si>
    <t>Шарипбай Ерсултан</t>
  </si>
  <si>
    <t>Кишинский Руслан</t>
  </si>
  <si>
    <t>Евстегнеева Зарина</t>
  </si>
  <si>
    <t>Иргебаев Ерлан</t>
  </si>
  <si>
    <t>122 350 RUB</t>
  </si>
  <si>
    <t>Шамрат Жангир</t>
  </si>
  <si>
    <t>Тарасов Давид</t>
  </si>
  <si>
    <t>156 500 RUB</t>
  </si>
  <si>
    <t>Гусейнов Тахир</t>
  </si>
  <si>
    <t>207 900 RUB</t>
  </si>
  <si>
    <t>Каирденова Жаннура</t>
  </si>
  <si>
    <t>Сеитова Аяулым</t>
  </si>
  <si>
    <t>157 400 RUB</t>
  </si>
  <si>
    <t>Койшыбай Алия</t>
  </si>
  <si>
    <t>139 250 RUB</t>
  </si>
  <si>
    <t>Шалкар Нуртас</t>
  </si>
  <si>
    <t>Хамит Абылай</t>
  </si>
  <si>
    <t>123 150 RUB</t>
  </si>
  <si>
    <t>Камиева Дильназ</t>
  </si>
  <si>
    <t>132 250 RUB</t>
  </si>
  <si>
    <t>Нурымова Айкоркем</t>
  </si>
  <si>
    <t>Сатыбалды Ернур</t>
  </si>
  <si>
    <t>133 550 RUB</t>
  </si>
  <si>
    <t>Аким Мади</t>
  </si>
  <si>
    <t>ВПР мочевыводительной системы,дивертикул мочевого пузыря</t>
  </si>
  <si>
    <t>Нурланкызы Мария</t>
  </si>
  <si>
    <t>78 400 RUB</t>
  </si>
  <si>
    <t>8 750 USD</t>
  </si>
  <si>
    <t>517 300 RUB</t>
  </si>
  <si>
    <t>312 700 RUB</t>
  </si>
  <si>
    <t>Скок Дима</t>
  </si>
  <si>
    <t>Частичная атрофия зрительного нерва</t>
  </si>
  <si>
    <t>УФК по Республике Башкортостан ФГБУ ВЦГПХ МЗ России</t>
  </si>
  <si>
    <t>Кабдыгалиев Рамазан</t>
  </si>
  <si>
    <t>164 600 RUB</t>
  </si>
  <si>
    <t>Лейхт Артем</t>
  </si>
  <si>
    <t>154 800 RUB</t>
  </si>
  <si>
    <t>Хайролла Амина</t>
  </si>
  <si>
    <t>77 100 RUB</t>
  </si>
  <si>
    <t>Берик Диас</t>
  </si>
  <si>
    <t>Абитай Инкар</t>
  </si>
  <si>
    <t>Амангельдиева Асель</t>
  </si>
  <si>
    <t>Ретинобластома 3 стадия</t>
  </si>
  <si>
    <t>Люсан Амир</t>
  </si>
  <si>
    <t>337 928 KZT</t>
  </si>
  <si>
    <t>68 575,07 RUB</t>
  </si>
  <si>
    <t>Карим Мержас</t>
  </si>
  <si>
    <t>134 250,00 RUB</t>
  </si>
  <si>
    <t>Сабирова Самира</t>
  </si>
  <si>
    <t>126 900,00 RUB</t>
  </si>
  <si>
    <t>Жанарбек Асыл</t>
  </si>
  <si>
    <t>148 350,00 RUB</t>
  </si>
  <si>
    <t xml:space="preserve">2015, доплата </t>
  </si>
  <si>
    <t>29 300,00 RUB</t>
  </si>
  <si>
    <t>Абдрахманов Каныш</t>
  </si>
  <si>
    <t>3 993 USD</t>
  </si>
  <si>
    <t>Туглуков Рахимжан</t>
  </si>
  <si>
    <t>Есенгельдина Ардана</t>
  </si>
  <si>
    <t>Муратов Дарын</t>
  </si>
  <si>
    <t>Бурак Данила</t>
  </si>
  <si>
    <t>93 900,00 RUB</t>
  </si>
  <si>
    <t>Садвакасова Адия</t>
  </si>
  <si>
    <t>Ретинопатия недоношенных</t>
  </si>
  <si>
    <t>84 015,16 RUB</t>
  </si>
  <si>
    <t>Жолдыгали Алихан</t>
  </si>
  <si>
    <t>Сисенов Жанторе</t>
  </si>
  <si>
    <t>Алтыбаев Рамазан</t>
  </si>
  <si>
    <t>Ретинопатия</t>
  </si>
  <si>
    <t>Мырзалиев Санжар</t>
  </si>
  <si>
    <t xml:space="preserve"> 2 817 ЕUR</t>
  </si>
  <si>
    <t xml:space="preserve">2015, 3 операция </t>
  </si>
  <si>
    <t>Есенов Ислам</t>
  </si>
  <si>
    <t>Фиброзная остеодисплазия правой нижней конечности</t>
  </si>
  <si>
    <t>Иманбаев Алмат</t>
  </si>
  <si>
    <t>Каримов Тофик</t>
  </si>
  <si>
    <t>Смат Алмас</t>
  </si>
  <si>
    <t>Идрисов Мейрамбек</t>
  </si>
  <si>
    <t>Грива Иван</t>
  </si>
  <si>
    <t xml:space="preserve"> 3 660 ЕUR</t>
  </si>
  <si>
    <t>Грива Дмитрий</t>
  </si>
  <si>
    <t>Бердыбекова Милана</t>
  </si>
  <si>
    <t>Джумабаев Мадиали</t>
  </si>
  <si>
    <t>117 600,00 RUB</t>
  </si>
  <si>
    <t>Ерболат Ержан</t>
  </si>
  <si>
    <t>139 200,00 RUB</t>
  </si>
  <si>
    <t>Орал Жаннур</t>
  </si>
  <si>
    <t>121 050,00 RUB</t>
  </si>
  <si>
    <t>Малых Данила</t>
  </si>
  <si>
    <t>127 000,00 RUB</t>
  </si>
  <si>
    <t>Кенжегалиев Еркебулан</t>
  </si>
  <si>
    <t>77 250,00 RUB</t>
  </si>
  <si>
    <t>Айтбеков Тимур</t>
  </si>
  <si>
    <t>3 914 USD</t>
  </si>
  <si>
    <t>Турдыклыч Мустафа</t>
  </si>
  <si>
    <t>Мельник Роман</t>
  </si>
  <si>
    <t>171 300,00 RUB</t>
  </si>
  <si>
    <t>Григорьева Радамира</t>
  </si>
  <si>
    <t>2 791,30 RUB</t>
  </si>
  <si>
    <t>4 470 RUB</t>
  </si>
  <si>
    <t>Лебедева Анастасия</t>
  </si>
  <si>
    <t>Воспалительная миофибробластическая опухоль правого легкого</t>
  </si>
  <si>
    <t>Брежнев Никита</t>
  </si>
  <si>
    <t>Брежнев Филипп</t>
  </si>
  <si>
    <t>Жомарт Динмухаммед</t>
  </si>
  <si>
    <t>1 432 USD</t>
  </si>
  <si>
    <t>Милхолдарова Ильдана</t>
  </si>
  <si>
    <t>Врожденная миопатия,эндолюбальная нейрометоболическая операция </t>
  </si>
  <si>
    <t>ЗАО Клиника Санитас</t>
  </si>
  <si>
    <t>400 000 RUB</t>
  </si>
  <si>
    <t>Иманбаев Саят</t>
  </si>
  <si>
    <t>Федоров Данил</t>
  </si>
  <si>
    <t xml:space="preserve"> 1 169,8 ЕUR</t>
  </si>
  <si>
    <t>ВПС,атрезия легочной артерии4 типа,НК2,ФЛ3</t>
  </si>
  <si>
    <t xml:space="preserve"> 5 779,9 ЕUR</t>
  </si>
  <si>
    <t>34 488 KZT</t>
  </si>
  <si>
    <t>118 000 KZT</t>
  </si>
  <si>
    <t>Курманали Мейржан</t>
  </si>
  <si>
    <t>17 705 KZT</t>
  </si>
  <si>
    <t>350 731 KZT</t>
  </si>
  <si>
    <t>128 880 KZT</t>
  </si>
  <si>
    <t>74 842 KZT</t>
  </si>
  <si>
    <t>Смак Аман</t>
  </si>
  <si>
    <t>299 831 KZT</t>
  </si>
  <si>
    <t>Крыкпаев Арман</t>
  </si>
  <si>
    <t>349 978 KZT</t>
  </si>
  <si>
    <t>Кадырбай Асет</t>
  </si>
  <si>
    <t>350 001 KZT</t>
  </si>
  <si>
    <t>Кадырбаев  Кайрат</t>
  </si>
  <si>
    <t>Жумаханова Асель</t>
  </si>
  <si>
    <t>303 950 KZT</t>
  </si>
  <si>
    <t>Жумаханов Санжар</t>
  </si>
  <si>
    <t>340 563 KZT</t>
  </si>
  <si>
    <t>Серик Муса</t>
  </si>
  <si>
    <t>Асанжан Адильхан</t>
  </si>
  <si>
    <t>Санкин Кирилл</t>
  </si>
  <si>
    <t>Нуржан Еркин</t>
  </si>
  <si>
    <t>Нуржан Ерасыл</t>
  </si>
  <si>
    <t>Скутин Адриан</t>
  </si>
  <si>
    <t>Guang Dong San Jiu Nao Ke Yi Yuan</t>
  </si>
  <si>
    <t>16 000 CNY</t>
  </si>
  <si>
    <t>Аксанова Альнура</t>
  </si>
  <si>
    <t>Болезнь Вильсона-Коновалова,ГЦД</t>
  </si>
  <si>
    <t>Universitatsklinikum Halle Saale</t>
  </si>
  <si>
    <t>частный спонсор</t>
  </si>
  <si>
    <t>Махмет Алмаз</t>
  </si>
  <si>
    <t>145 350 RUB</t>
  </si>
  <si>
    <t xml:space="preserve">Камарадин Алишер </t>
  </si>
  <si>
    <t>Гигантская опухоль червя и гемисферы мозжечка</t>
  </si>
  <si>
    <t>Мейрамгали Айым</t>
  </si>
  <si>
    <t>10 550 CNY</t>
  </si>
  <si>
    <t>Толмачев Георгий</t>
  </si>
  <si>
    <t>132 340 RUB</t>
  </si>
  <si>
    <t>Кван Юлия</t>
  </si>
  <si>
    <t>Батырбай Диар</t>
  </si>
  <si>
    <t>Паралич Дюшена-Эрба</t>
  </si>
  <si>
    <t>папилломатоз гортани, распространённая форма, рубцовый стеноз гортани DHI 2 степени</t>
  </si>
  <si>
    <t>Тургали Асель</t>
  </si>
  <si>
    <t>Жанысбек Дарын</t>
  </si>
  <si>
    <t>Полушатов Никита</t>
  </si>
  <si>
    <t>Жанбырбай Айтолкын</t>
  </si>
  <si>
    <t>Эрмахан Жанайым</t>
  </si>
  <si>
    <t>121 500 RUB</t>
  </si>
  <si>
    <t>Урмонов Нурислам</t>
  </si>
  <si>
    <t>151 960 RUB</t>
  </si>
  <si>
    <t>Джалилова Роксана</t>
  </si>
  <si>
    <t>Салимжанов Мухамедкарим</t>
  </si>
  <si>
    <t>147 200 RUB</t>
  </si>
  <si>
    <t>Хрипченко Эвелина</t>
  </si>
  <si>
    <t>149 400 RUB</t>
  </si>
  <si>
    <t>Амиржанов Алиаскар</t>
  </si>
  <si>
    <t>64 900 RUB</t>
  </si>
  <si>
    <t>Мендулла Мансур</t>
  </si>
  <si>
    <t>Алкен Рауан</t>
  </si>
  <si>
    <t>136 250 RUB</t>
  </si>
  <si>
    <t>Таткенов Абдулатиф</t>
  </si>
  <si>
    <t>Набокина Ксения</t>
  </si>
  <si>
    <t>302 086 KZT</t>
  </si>
  <si>
    <t>Набокина Светлана</t>
  </si>
  <si>
    <t>313 126 KZT</t>
  </si>
  <si>
    <t>ПДЖ в т.ч. спонсор ТОО "Рош Казахстан" - 263 830 тг.</t>
  </si>
  <si>
    <t>Терлецкая Мария</t>
  </si>
  <si>
    <t>Муковисцидоз</t>
  </si>
  <si>
    <t>УФК по г.Москве ФГБУ НЦЗД</t>
  </si>
  <si>
    <t>Кан Полина</t>
  </si>
  <si>
    <t>Эпидермолиз буллезный</t>
  </si>
  <si>
    <t>4 593 USD</t>
  </si>
  <si>
    <t>Меркулов Тимофей</t>
  </si>
  <si>
    <t>Артогрипоз.Эквино-варусный компонет с двух сторон</t>
  </si>
  <si>
    <t>Андрейченко Анна</t>
  </si>
  <si>
    <t>Синдактилия обеих кистей</t>
  </si>
  <si>
    <t>УФК по г. С-Петербург ФГБУ НИДОИ им.Г.И.Турнера, Минздрава России</t>
  </si>
  <si>
    <t>Шабарова Адель</t>
  </si>
  <si>
    <t xml:space="preserve"> 3 282 ЕUR</t>
  </si>
  <si>
    <t>Амангельды Нурасыл</t>
  </si>
  <si>
    <t xml:space="preserve"> 2 968 ЕUR</t>
  </si>
  <si>
    <t>Хан Артем</t>
  </si>
  <si>
    <t>Негодюк Данила</t>
  </si>
  <si>
    <t>126 850 RUB</t>
  </si>
  <si>
    <t>Болатбек Абилмансур</t>
  </si>
  <si>
    <t>133 250 RUB</t>
  </si>
  <si>
    <t>Квачко Елизавета</t>
  </si>
  <si>
    <t>114 100 RUB</t>
  </si>
  <si>
    <t>Халимов Егор</t>
  </si>
  <si>
    <t>Данияр Куралай</t>
  </si>
  <si>
    <t>155 400 RUB</t>
  </si>
  <si>
    <t>Болатханулы Абылай</t>
  </si>
  <si>
    <t>156 800 RUB</t>
  </si>
  <si>
    <t>Храпач Егор</t>
  </si>
  <si>
    <t>176 200 RUB</t>
  </si>
  <si>
    <t>Байголы Али</t>
  </si>
  <si>
    <t>Мухамеджанов Адильжан</t>
  </si>
  <si>
    <t>Холмуминова Покиза</t>
  </si>
  <si>
    <t>Билатеральная ретинобластома</t>
  </si>
  <si>
    <t>5 700 USD</t>
  </si>
  <si>
    <t>Редько Анастасия</t>
  </si>
  <si>
    <t>ООО Здоровое детство</t>
  </si>
  <si>
    <t>72 200 RUB</t>
  </si>
  <si>
    <t>Архипова Ева</t>
  </si>
  <si>
    <t>МКБ,первичная гипероксалурия</t>
  </si>
  <si>
    <t>2015, 3 к/лечения</t>
  </si>
  <si>
    <t>10 500 RUB</t>
  </si>
  <si>
    <t>Бердыбеков Ильяс</t>
  </si>
  <si>
    <t>Кенжебек Жанерке</t>
  </si>
  <si>
    <t>2015, 5 к/лечения</t>
  </si>
  <si>
    <t xml:space="preserve">Ерланов Сулейман </t>
  </si>
  <si>
    <t>ХПН 3 стадия,ВПР мочевыводительной системы</t>
  </si>
  <si>
    <t>8 500 USD</t>
  </si>
  <si>
    <t>86 042,16 RUB</t>
  </si>
  <si>
    <t>Мухамеджанова Рамина</t>
  </si>
  <si>
    <t>81 988,32 RUB</t>
  </si>
  <si>
    <t>7 200 USD</t>
  </si>
  <si>
    <t>Поденежная Варвара</t>
  </si>
  <si>
    <t>Болезнь Гиршпрунга,ВПР лицевых структур</t>
  </si>
  <si>
    <t>2015, 1 операция</t>
  </si>
  <si>
    <t>Айтбаев Тимур</t>
  </si>
  <si>
    <t>Есмухамбетова Назерке</t>
  </si>
  <si>
    <t>Яковлев Богдан</t>
  </si>
  <si>
    <t>150 500 RUB</t>
  </si>
  <si>
    <t>Трусевич Вадим</t>
  </si>
  <si>
    <t>Нурманкул Нуралы</t>
  </si>
  <si>
    <t>Сейдалин Шамиль</t>
  </si>
  <si>
    <t>136 750 RUB</t>
  </si>
  <si>
    <t>Уразалова Аиша</t>
  </si>
  <si>
    <t>Кудинова Ульяна</t>
  </si>
  <si>
    <t>120 900 RUB</t>
  </si>
  <si>
    <t>Парфенов Марк</t>
  </si>
  <si>
    <t>124 100 RUB</t>
  </si>
  <si>
    <t>Сайын Енлик</t>
  </si>
  <si>
    <t>159 400 RUB</t>
  </si>
  <si>
    <t>81 988,16 RUB</t>
  </si>
  <si>
    <t>Батешов Райян</t>
  </si>
  <si>
    <t>Daoli Guanghua Community Health Service Center</t>
  </si>
  <si>
    <t>Сасиков Никита</t>
  </si>
  <si>
    <t>Последствие гематогенного остеомелита,деформация проксимального отдела правого бедра</t>
  </si>
  <si>
    <t>УФК по Курганской области ФГБУ РНЦ ВТО им.акад.Г.А.Илизарова</t>
  </si>
  <si>
    <t>500 000,00 RUB</t>
  </si>
  <si>
    <t>Макаренко Артем</t>
  </si>
  <si>
    <t>119 800,00 RUB</t>
  </si>
  <si>
    <t>Макаренко Никита</t>
  </si>
  <si>
    <t>142 000,00 RUB</t>
  </si>
  <si>
    <t>Тургинбеков Батырхан</t>
  </si>
  <si>
    <t>123 900,00 RUB</t>
  </si>
  <si>
    <t>Дроздова Анастасия</t>
  </si>
  <si>
    <t>121 100,00 RUB</t>
  </si>
  <si>
    <t>Дмитриенко Людмила</t>
  </si>
  <si>
    <t>159 100,00 RUB</t>
  </si>
  <si>
    <t>Гущин Илья</t>
  </si>
  <si>
    <t>117 200,00 RUB</t>
  </si>
  <si>
    <t>Сингатулин Мансур</t>
  </si>
  <si>
    <t>163 800,00 RUB</t>
  </si>
  <si>
    <t>Казиев Ердаулет</t>
  </si>
  <si>
    <t>147 800,00 RUB</t>
  </si>
  <si>
    <t>Дияров Эмир</t>
  </si>
  <si>
    <t>Бейсенбек Жан</t>
  </si>
  <si>
    <t>3 855 USD</t>
  </si>
  <si>
    <t>Пак Валерия</t>
  </si>
  <si>
    <t xml:space="preserve">Низова Дарья </t>
  </si>
  <si>
    <t xml:space="preserve">Бактыхан Жан </t>
  </si>
  <si>
    <t xml:space="preserve">Сейдиллаева Айсезим </t>
  </si>
  <si>
    <t xml:space="preserve">3 992 USD </t>
  </si>
  <si>
    <t>Куликова Вероника</t>
  </si>
  <si>
    <t>Мусагулов Султан</t>
  </si>
  <si>
    <t>Карабазар Айып</t>
  </si>
  <si>
    <t>348 776 KZT</t>
  </si>
  <si>
    <t>Карабазар Надия</t>
  </si>
  <si>
    <t>Рустамулы Динмухаммед</t>
  </si>
  <si>
    <t>Бекмурат Акторе</t>
  </si>
  <si>
    <t>АО Республиканский детский реабилитационный центр</t>
  </si>
  <si>
    <t>Жылкыбай Нурмухаммед</t>
  </si>
  <si>
    <t>Савушкина Дарья</t>
  </si>
  <si>
    <t>139 350,00 RUB</t>
  </si>
  <si>
    <t>Гадылбеков Мансур</t>
  </si>
  <si>
    <t>Ирангалиев Ерулан</t>
  </si>
  <si>
    <t>155 400,00 RUB</t>
  </si>
  <si>
    <t>309,33</t>
  </si>
  <si>
    <t>Саитов Салим</t>
  </si>
  <si>
    <t>130 200,00 RUB</t>
  </si>
  <si>
    <t>312,65</t>
  </si>
  <si>
    <t>4,8487</t>
  </si>
  <si>
    <t>Акбузов Тамерлан</t>
  </si>
  <si>
    <t>148 850,00 RUB</t>
  </si>
  <si>
    <t>4,8498</t>
  </si>
  <si>
    <t>Мураткаримова Тасним</t>
  </si>
  <si>
    <t>133 350,00 RUB</t>
  </si>
  <si>
    <t>4,8532</t>
  </si>
  <si>
    <t>Смирнов Виктор</t>
  </si>
  <si>
    <t>Муковисцидоз,ДН 2 степени</t>
  </si>
  <si>
    <t>УФК по г.Москве ФГБУ НЦЗД МЗ России</t>
  </si>
  <si>
    <t>306,74</t>
  </si>
  <si>
    <t>4,9681</t>
  </si>
  <si>
    <t>Смирнов Богдан</t>
  </si>
  <si>
    <t>4,9692</t>
  </si>
  <si>
    <t>45 040,00 RUB</t>
  </si>
  <si>
    <t>306,85</t>
  </si>
  <si>
    <t>4,9781</t>
  </si>
  <si>
    <t>Кыдыргали Сабина</t>
  </si>
  <si>
    <t>4,765</t>
  </si>
  <si>
    <t>83 240,00 RUB</t>
  </si>
  <si>
    <t>Певнева Дарья</t>
  </si>
  <si>
    <t>139 100,00 RUB</t>
  </si>
  <si>
    <t>307,73</t>
  </si>
  <si>
    <t>4,6981</t>
  </si>
  <si>
    <t>Литвиненко Игнат</t>
  </si>
  <si>
    <t>138 800,00 RUB</t>
  </si>
  <si>
    <t>4,7082</t>
  </si>
  <si>
    <t>243,15</t>
  </si>
  <si>
    <t>Булкаиров Рамазан</t>
  </si>
  <si>
    <t>308,36</t>
  </si>
  <si>
    <t>4,7884</t>
  </si>
  <si>
    <t>Бауржан Даяна</t>
  </si>
  <si>
    <t>ООО Реацентр Оренбуржье</t>
  </si>
  <si>
    <t>307,68</t>
  </si>
  <si>
    <t>4,9242</t>
  </si>
  <si>
    <t>Шитанов Алмат</t>
  </si>
  <si>
    <t>151 300,00 RUB</t>
  </si>
  <si>
    <t>4,8169</t>
  </si>
  <si>
    <t>150 950,00 RUB</t>
  </si>
  <si>
    <t>4,8205</t>
  </si>
  <si>
    <t>Шитанов Бекзат</t>
  </si>
  <si>
    <t>2015, 10 курс/лечения</t>
  </si>
  <si>
    <t>Хасенова Сабина</t>
  </si>
  <si>
    <t>Дроекулонное укорочение правой ноги,деформирующий гонартроз 2 степени,ФНС 2 степени</t>
  </si>
  <si>
    <t>Бакпай Алихан</t>
  </si>
  <si>
    <t>308,23</t>
  </si>
  <si>
    <t>Наби Амирхан</t>
  </si>
  <si>
    <t>307,21</t>
  </si>
  <si>
    <t>4,7437</t>
  </si>
  <si>
    <t xml:space="preserve">Масгутов Аслан </t>
  </si>
  <si>
    <t>УФК по г.Санкт-Петербургу ФГБУ СПб НИИФ МЗ России</t>
  </si>
  <si>
    <t>194 690,00 RUB</t>
  </si>
  <si>
    <t>4,7569</t>
  </si>
  <si>
    <t>Негметжанов Дастан</t>
  </si>
  <si>
    <t>308,33</t>
  </si>
  <si>
    <t>Умитжанкызы Жасмина</t>
  </si>
  <si>
    <t>склерокорнея, тотальная воронкообразная отслойка сетчатки</t>
  </si>
  <si>
    <t>Григорьева Алена</t>
  </si>
  <si>
    <t>308,68</t>
  </si>
  <si>
    <t>Саргизова Алуа</t>
  </si>
  <si>
    <t>36 089 RUB</t>
  </si>
  <si>
    <t>307,76</t>
  </si>
  <si>
    <t>4,7288</t>
  </si>
  <si>
    <t>Ершова Ирина</t>
  </si>
  <si>
    <t>Омфалоцеле,ВПС ДМЖП в мембранной части</t>
  </si>
  <si>
    <t>Аплазия обеих надколенников с вывихом обеих голеней</t>
  </si>
  <si>
    <t>Амангельды Мадина</t>
  </si>
  <si>
    <t>Зюкова Ева</t>
  </si>
  <si>
    <t>Urumqi Furong Hospital LTD</t>
  </si>
  <si>
    <t>308,03</t>
  </si>
  <si>
    <t>Темиралиев Аттила</t>
  </si>
  <si>
    <t>Рабдомиасаркома брюшной полости</t>
  </si>
  <si>
    <t>309,13</t>
  </si>
  <si>
    <t>ПДЖ, в т.ч. спонсор - ТОО "Aida KaumeNOVA" - 50 000 тг.</t>
  </si>
  <si>
    <t>ПДЖ (в т.ч. 4 340 дол. С частного пожертвования Н.А.Назарбаева)</t>
  </si>
  <si>
    <t>310,84</t>
  </si>
  <si>
    <t>82 105,16 RUB</t>
  </si>
  <si>
    <t>307,87</t>
  </si>
  <si>
    <t>4,665</t>
  </si>
  <si>
    <t>Ильясов Уалихан</t>
  </si>
  <si>
    <t>152 250 RUB</t>
  </si>
  <si>
    <t>4,5615</t>
  </si>
  <si>
    <t>Абдували Алина</t>
  </si>
  <si>
    <t>Валуидзе Руслана</t>
  </si>
  <si>
    <t>Приводящая контрактура обеих бедер</t>
  </si>
  <si>
    <t>332,90</t>
  </si>
  <si>
    <t>Саскебаева Камила</t>
  </si>
  <si>
    <t>338,41</t>
  </si>
  <si>
    <t>8 100 USD</t>
  </si>
  <si>
    <t>Мукашев Адильжан</t>
  </si>
  <si>
    <t>Ризотомия нервных окончаний спинного мозга</t>
  </si>
  <si>
    <t>Istanbul Memorial Saglik Yatirimlari A.S.</t>
  </si>
  <si>
    <t>26 070 RUB</t>
  </si>
  <si>
    <t>349,12</t>
  </si>
  <si>
    <t>4,9001</t>
  </si>
  <si>
    <t>674 140 RUB</t>
  </si>
  <si>
    <t>4,7918</t>
  </si>
  <si>
    <t>332,9</t>
  </si>
  <si>
    <t>336,66</t>
  </si>
  <si>
    <t>4,7604</t>
  </si>
  <si>
    <t>327,88</t>
  </si>
  <si>
    <t>329,39</t>
  </si>
  <si>
    <t>4 180 USD</t>
  </si>
  <si>
    <t>333,9</t>
  </si>
  <si>
    <t>Ходченко Данил</t>
  </si>
  <si>
    <t>115 800 RUB</t>
  </si>
  <si>
    <t>326,38</t>
  </si>
  <si>
    <t>4,7942</t>
  </si>
  <si>
    <t>Мустафин Тамерлан</t>
  </si>
  <si>
    <t>3 996 USD</t>
  </si>
  <si>
    <t>334,4</t>
  </si>
  <si>
    <t>Жуман Алихан</t>
  </si>
  <si>
    <t>Мельникова Дарья</t>
  </si>
  <si>
    <t>331,38</t>
  </si>
  <si>
    <t>52,1</t>
  </si>
  <si>
    <t>Бакыт Аружан</t>
  </si>
  <si>
    <t>339,47</t>
  </si>
  <si>
    <t>Атакелды Амина</t>
  </si>
  <si>
    <t>Воронкообразная деформация грудной клетки со сдавлением легкого</t>
  </si>
  <si>
    <t>3 165 USD</t>
  </si>
  <si>
    <t>7 500 USD</t>
  </si>
  <si>
    <t>Операции/курсы лечения</t>
  </si>
  <si>
    <t>о перечисленных средствах за лечение детей на 31.12.2015</t>
  </si>
  <si>
    <t>350 056 KZT</t>
  </si>
  <si>
    <t>106 355,00 RUB</t>
  </si>
  <si>
    <t>26 690 RUB</t>
  </si>
  <si>
    <t>6 200 USD</t>
  </si>
  <si>
    <t>2 576,27 ЕUR</t>
  </si>
  <si>
    <t>Стоимость операции, валюта (по Акту выполненных работ)</t>
  </si>
  <si>
    <t>2 100 USD</t>
  </si>
  <si>
    <t>105 100 RUB</t>
  </si>
  <si>
    <t xml:space="preserve"> 147 300 RUB</t>
  </si>
  <si>
    <t>137 900 RUB</t>
  </si>
  <si>
    <t>44 000 RUB</t>
  </si>
  <si>
    <t>19 700 RUB</t>
  </si>
  <si>
    <t>97 300,00 RUB</t>
  </si>
  <si>
    <t>152 850,00 RUB</t>
  </si>
  <si>
    <t>35 100,00 RUB</t>
  </si>
  <si>
    <t>75 300,00 RUB</t>
  </si>
  <si>
    <t>146 000 RUB</t>
  </si>
  <si>
    <t>119 700,00 RUB</t>
  </si>
  <si>
    <t>125 900 RUB</t>
  </si>
  <si>
    <t>85 200,00 RUB</t>
  </si>
  <si>
    <t>114 600 RUB</t>
  </si>
  <si>
    <t>163 600 RUB</t>
  </si>
  <si>
    <t>122 700 RUB</t>
  </si>
  <si>
    <t xml:space="preserve"> 104 700 RUB</t>
  </si>
  <si>
    <t>77 913 RUB</t>
  </si>
  <si>
    <t>94 290,16 RUB</t>
  </si>
  <si>
    <t xml:space="preserve"> 353 190 RUB</t>
  </si>
  <si>
    <t xml:space="preserve"> 195 606,94 RUB</t>
  </si>
  <si>
    <t>15 050 RUB</t>
  </si>
  <si>
    <t xml:space="preserve"> 41 280 RUB</t>
  </si>
  <si>
    <t>91 890,00 RUB</t>
  </si>
  <si>
    <t>95 390,00 RUB</t>
  </si>
  <si>
    <t>134 680 RUB</t>
  </si>
  <si>
    <t>95 530 RUB</t>
  </si>
  <si>
    <t>216 280 RUB</t>
  </si>
  <si>
    <t xml:space="preserve"> 121 640 RUB</t>
  </si>
  <si>
    <t>21 485 CNY</t>
  </si>
  <si>
    <t>16 945 CNY</t>
  </si>
  <si>
    <t>21 645 CNY</t>
  </si>
  <si>
    <t>17 950 CNY</t>
  </si>
  <si>
    <t>16 305 CNY</t>
  </si>
  <si>
    <t>18 230 CNY</t>
  </si>
  <si>
    <t>22 450 CNY</t>
  </si>
  <si>
    <t>21 105 CNY</t>
  </si>
  <si>
    <t>21 390 CNY</t>
  </si>
  <si>
    <t>20 765 CNY</t>
  </si>
  <si>
    <t>2 860 CNY</t>
  </si>
  <si>
    <t>1637,20 CNY</t>
  </si>
  <si>
    <t xml:space="preserve"> 3 310,50 ЕUR</t>
  </si>
  <si>
    <t xml:space="preserve"> 3 440,41 ЕUR</t>
  </si>
  <si>
    <t>16 050 USD</t>
  </si>
  <si>
    <t xml:space="preserve"> 2 760 ЕUR</t>
  </si>
  <si>
    <t xml:space="preserve"> 1 660 ЕUR</t>
  </si>
  <si>
    <t>5 609 USD</t>
  </si>
  <si>
    <t>2 885 USD</t>
  </si>
  <si>
    <t xml:space="preserve">Частное пожертвование Н.А.Назарбаева </t>
  </si>
  <si>
    <t>3 008 USD</t>
  </si>
  <si>
    <t xml:space="preserve"> 2 877 ЕUR</t>
  </si>
  <si>
    <t xml:space="preserve"> 2 981,8 ЕUR</t>
  </si>
  <si>
    <t>2 982 ЕUR</t>
  </si>
  <si>
    <t xml:space="preserve"> 2 146 ЕUR</t>
  </si>
  <si>
    <t xml:space="preserve"> 2 042 ЕUR</t>
  </si>
  <si>
    <t xml:space="preserve"> 7 703,69 ЕUR</t>
  </si>
  <si>
    <t>7 700 USD</t>
  </si>
  <si>
    <t>7 643 USD</t>
  </si>
  <si>
    <t>2 600 USD</t>
  </si>
  <si>
    <t>3 100 USD</t>
  </si>
  <si>
    <t>10 200 USD</t>
  </si>
  <si>
    <t>8 250 USD</t>
  </si>
  <si>
    <t>С частного пожертвования Н.А.Назарбаева</t>
  </si>
  <si>
    <t>25 000 RUB</t>
  </si>
  <si>
    <t>128 680 RUB</t>
  </si>
  <si>
    <t xml:space="preserve"> 136 075 RUB</t>
  </si>
  <si>
    <t xml:space="preserve"> 101 500 RUB</t>
  </si>
  <si>
    <t>350 238 KZT</t>
  </si>
  <si>
    <t>280 250 KZT</t>
  </si>
  <si>
    <t>282 175 KZT</t>
  </si>
  <si>
    <t>300 983 KZT</t>
  </si>
  <si>
    <t>321 802 KZT</t>
  </si>
  <si>
    <t>297 306 KZT</t>
  </si>
  <si>
    <t>35 350,00 RUB</t>
  </si>
  <si>
    <t xml:space="preserve"> 112 190 RUB</t>
  </si>
  <si>
    <t>86 050 RUB</t>
  </si>
  <si>
    <t xml:space="preserve"> 124 850 RUB</t>
  </si>
  <si>
    <t>2 193 USD</t>
  </si>
  <si>
    <t>1 820 USD</t>
  </si>
  <si>
    <t>2 772 USD</t>
  </si>
  <si>
    <t>2 865 USD</t>
  </si>
  <si>
    <t>124 430 RUB</t>
  </si>
  <si>
    <t>115 522,61 RUB</t>
  </si>
  <si>
    <t>5 337 USD</t>
  </si>
  <si>
    <t>ПДЖ - в т.ч. 15 500 дол. Частное пожертвование Н.А.Назарбаева</t>
  </si>
  <si>
    <t>12 800 USD</t>
  </si>
  <si>
    <t>337 032 RUB</t>
  </si>
  <si>
    <t>120 996 RUB</t>
  </si>
  <si>
    <t>319 144,18 RUB</t>
  </si>
  <si>
    <t>500 528 RUB</t>
  </si>
  <si>
    <t>323 877,99 RUB</t>
  </si>
  <si>
    <t xml:space="preserve"> 132 995,56 RUB</t>
  </si>
  <si>
    <t>205 402,01 RUB</t>
  </si>
  <si>
    <t>139 889,25 RUB</t>
  </si>
  <si>
    <t>146 831,15 RUB</t>
  </si>
  <si>
    <t>10 620 USD</t>
  </si>
  <si>
    <t>142 081,80 RUB</t>
  </si>
  <si>
    <t>29 952 USD</t>
  </si>
  <si>
    <t>Кетегенов Ильяс</t>
  </si>
  <si>
    <t>Ибайдулла Асылбек</t>
  </si>
  <si>
    <t>83 000 USD</t>
  </si>
  <si>
    <t>Абдулла Зулкарнайын</t>
  </si>
  <si>
    <t xml:space="preserve"> 2 762 ЕUR</t>
  </si>
  <si>
    <t xml:space="preserve"> 560 RUB</t>
  </si>
  <si>
    <t>Болат Мансур</t>
  </si>
  <si>
    <t>6 804 USD</t>
  </si>
  <si>
    <t>30 100 USD</t>
  </si>
  <si>
    <t>Оразбек Алуа</t>
  </si>
  <si>
    <t>22 360 CNY</t>
  </si>
  <si>
    <t>Даутова Толганай</t>
  </si>
  <si>
    <t>19 425 CNY</t>
  </si>
  <si>
    <t>Асемхан Динмухаммед</t>
  </si>
  <si>
    <t>30 891 CNY</t>
  </si>
  <si>
    <t>Мухамедиева Милана</t>
  </si>
  <si>
    <t>12 100 USD</t>
  </si>
  <si>
    <t>Юсина Ангелина</t>
  </si>
  <si>
    <t>212 000 KZT</t>
  </si>
  <si>
    <t>297 873 KZT</t>
  </si>
  <si>
    <t>200 759 KZT</t>
  </si>
  <si>
    <t>307,53</t>
  </si>
  <si>
    <t>110 100 RUB</t>
  </si>
  <si>
    <t>Кайнелгылым Жанарыс</t>
  </si>
  <si>
    <t>Наурузбаев Алиби</t>
  </si>
  <si>
    <t>Мырзагалиева Зере</t>
  </si>
  <si>
    <t>3 968 USD</t>
  </si>
  <si>
    <t>Шингисханова Итиана</t>
  </si>
  <si>
    <t>6 277,92 USD</t>
  </si>
  <si>
    <t>Бесплатные операции в рамках сотрудничества с фондом "ДОМ", 2009-2013</t>
  </si>
  <si>
    <t xml:space="preserve">Примечания: 
1. Количество оплаченных операций превышает количество детей, так как некоторым детям требовалось 2 и более операций с промежутком между операциями от нескольких месяцев до нескольких лет. </t>
  </si>
  <si>
    <t>Реабилитационный центр "Адели"."ADELI" s.r.o.Словакия</t>
  </si>
  <si>
    <t>2015, закрытие по Акту</t>
  </si>
  <si>
    <t>ПДЖ - в т.ч.оплачено за счёт смс пожертвований абонентов Кселл -            556 500 тг.</t>
  </si>
  <si>
    <t>ПДЖ - в т.ч.оплачено за счёт смс пожертвований абонентов Кселл -              496 250 тг.</t>
  </si>
  <si>
    <t>ПДЖ                (в т.ч.              1 850 дол.             С частного пожертвования Н.А.Назарбаева)</t>
  </si>
  <si>
    <t>ПДЖ, в т.ч.оплачено за счет смс пожертвований абонентов Кселл -            587 500 тг.</t>
  </si>
  <si>
    <t>ПДЖ, в т.ч.оплачено за счет смс пожертвований абонентов Кселл -          567 000 тг.</t>
  </si>
  <si>
    <t>ПДЖ, в т.ч.оплачено за счет смс пожертвований абонентов Кселл -         278 625 тг.</t>
  </si>
  <si>
    <t>ПДЖ, в т.ч.оплачено за счет смс пожертвований абонентов Кселл -            278 625 тг.</t>
  </si>
  <si>
    <t xml:space="preserve"> 18 310,52 ЕUR </t>
  </si>
  <si>
    <t>124 681 KZT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</si>
</sst>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р_._-;\-* #,##0.00\ _р_._-;_-* &quot;-&quot;??\ _р_._-;_-@_-"/>
    <numFmt numFmtId="165" formatCode="#,##0_р_."/>
    <numFmt numFmtId="166" formatCode="#,##0_ ;\-#,##0\ "/>
  </numFmts>
  <fonts count="10" x14ac:knownFonts="1">
    <font>
      <sz val="10"/>
      <name val="Arial Cyr"/>
      <family val="2"/>
      <charset val="204"/>
    </font>
    <font>
      <sz val="10"/>
      <name val="Arial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sz val="10"/>
      <name val="Verdana"/>
      <family val="2"/>
      <charset val="204"/>
    </font>
    <font>
      <b/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2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0" fillId="0" borderId="0" xfId="0" applyFill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4" borderId="0" xfId="0" applyFill="1"/>
    <xf numFmtId="0" fontId="0" fillId="5" borderId="0" xfId="0" applyFill="1" applyAlignment="1">
      <alignment wrapText="1"/>
    </xf>
    <xf numFmtId="0" fontId="0" fillId="5" borderId="0" xfId="0" applyFill="1"/>
    <xf numFmtId="0" fontId="0" fillId="6" borderId="0" xfId="0" applyFill="1"/>
    <xf numFmtId="0" fontId="4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righ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right" vertical="top" wrapText="1"/>
    </xf>
    <xf numFmtId="0" fontId="4" fillId="2" borderId="16" xfId="0" applyFont="1" applyFill="1" applyBorder="1" applyAlignment="1">
      <alignment horizontal="right" vertical="top" wrapText="1"/>
    </xf>
    <xf numFmtId="0" fontId="4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/>
    </xf>
    <xf numFmtId="0" fontId="4" fillId="3" borderId="13" xfId="0" applyNumberFormat="1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3" fontId="7" fillId="3" borderId="13" xfId="0" applyNumberFormat="1" applyFont="1" applyFill="1" applyBorder="1" applyAlignment="1">
      <alignment horizontal="right" vertical="top" wrapText="1"/>
    </xf>
    <xf numFmtId="0" fontId="7" fillId="3" borderId="14" xfId="0" applyFont="1" applyFill="1" applyBorder="1" applyAlignment="1">
      <alignment horizontal="right" vertical="top" wrapText="1"/>
    </xf>
    <xf numFmtId="3" fontId="4" fillId="3" borderId="6" xfId="0" applyNumberFormat="1" applyFont="1" applyFill="1" applyBorder="1" applyAlignment="1">
      <alignment vertical="top" wrapText="1"/>
    </xf>
    <xf numFmtId="3" fontId="4" fillId="3" borderId="6" xfId="0" applyNumberFormat="1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right" vertical="top" wrapText="1"/>
    </xf>
    <xf numFmtId="165" fontId="7" fillId="3" borderId="6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3" fontId="6" fillId="0" borderId="0" xfId="0" applyNumberFormat="1" applyFont="1" applyAlignment="1">
      <alignment vertical="top" wrapText="1"/>
    </xf>
    <xf numFmtId="3" fontId="8" fillId="2" borderId="0" xfId="0" applyNumberFormat="1" applyFont="1" applyFill="1" applyBorder="1" applyAlignment="1">
      <alignment horizontal="left" vertical="top" wrapText="1"/>
    </xf>
    <xf numFmtId="3" fontId="6" fillId="2" borderId="0" xfId="0" applyNumberFormat="1" applyFont="1" applyFill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0" fontId="0" fillId="8" borderId="0" xfId="0" applyFill="1"/>
    <xf numFmtId="0" fontId="0" fillId="0" borderId="0" xfId="0" applyFont="1"/>
    <xf numFmtId="14" fontId="4" fillId="9" borderId="11" xfId="0" applyNumberFormat="1" applyFont="1" applyFill="1" applyBorder="1" applyAlignment="1">
      <alignment vertical="center"/>
    </xf>
    <xf numFmtId="0" fontId="0" fillId="10" borderId="0" xfId="0" applyFill="1"/>
    <xf numFmtId="0" fontId="0" fillId="5" borderId="0" xfId="0" applyFill="1" applyAlignment="1">
      <alignment vertical="top" wrapText="1"/>
    </xf>
    <xf numFmtId="0" fontId="0" fillId="5" borderId="0" xfId="0" applyFont="1" applyFill="1"/>
    <xf numFmtId="0" fontId="4" fillId="5" borderId="8" xfId="0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 wrapText="1"/>
    </xf>
    <xf numFmtId="3" fontId="4" fillId="5" borderId="8" xfId="0" applyNumberFormat="1" applyFont="1" applyFill="1" applyBorder="1" applyAlignment="1">
      <alignment vertical="top"/>
    </xf>
    <xf numFmtId="3" fontId="4" fillId="5" borderId="8" xfId="0" applyNumberFormat="1" applyFont="1" applyFill="1" applyBorder="1" applyAlignment="1">
      <alignment horizontal="right" vertical="top" wrapText="1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4" fontId="4" fillId="5" borderId="8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vertical="top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right" vertical="center"/>
    </xf>
    <xf numFmtId="165" fontId="4" fillId="5" borderId="11" xfId="0" applyNumberFormat="1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top" wrapText="1"/>
    </xf>
    <xf numFmtId="3" fontId="4" fillId="5" borderId="11" xfId="0" applyNumberFormat="1" applyFont="1" applyFill="1" applyBorder="1" applyAlignment="1">
      <alignment horizontal="right" vertical="top" wrapText="1"/>
    </xf>
    <xf numFmtId="14" fontId="4" fillId="5" borderId="1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top" wrapText="1"/>
    </xf>
    <xf numFmtId="3" fontId="2" fillId="5" borderId="8" xfId="0" applyNumberFormat="1" applyFont="1" applyFill="1" applyBorder="1" applyAlignment="1">
      <alignment horizontal="right" vertical="top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14" fontId="4" fillId="5" borderId="8" xfId="0" applyNumberFormat="1" applyFont="1" applyFill="1" applyBorder="1" applyAlignment="1">
      <alignment horizontal="right" vertical="center"/>
    </xf>
    <xf numFmtId="0" fontId="4" fillId="5" borderId="8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0" fillId="5" borderId="11" xfId="0" applyFill="1" applyBorder="1" applyAlignment="1">
      <alignment vertical="top" wrapText="1"/>
    </xf>
    <xf numFmtId="0" fontId="0" fillId="5" borderId="11" xfId="0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top" wrapText="1"/>
    </xf>
    <xf numFmtId="0" fontId="9" fillId="5" borderId="8" xfId="0" applyFont="1" applyFill="1" applyBorder="1" applyAlignment="1">
      <alignment vertical="top" wrapText="1"/>
    </xf>
    <xf numFmtId="3" fontId="4" fillId="5" borderId="8" xfId="0" applyNumberFormat="1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top" wrapText="1"/>
    </xf>
    <xf numFmtId="0" fontId="4" fillId="5" borderId="8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right" vertical="center"/>
    </xf>
    <xf numFmtId="166" fontId="4" fillId="5" borderId="11" xfId="1" applyNumberFormat="1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/>
    </xf>
    <xf numFmtId="0" fontId="9" fillId="5" borderId="10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/>
    </xf>
    <xf numFmtId="49" fontId="4" fillId="5" borderId="8" xfId="0" applyNumberFormat="1" applyFont="1" applyFill="1" applyBorder="1" applyAlignment="1">
      <alignment horizontal="right" vertical="top" wrapText="1"/>
    </xf>
    <xf numFmtId="49" fontId="4" fillId="5" borderId="8" xfId="0" applyNumberFormat="1" applyFont="1" applyFill="1" applyBorder="1" applyAlignment="1">
      <alignment horizontal="right" vertical="top"/>
    </xf>
    <xf numFmtId="165" fontId="4" fillId="5" borderId="8" xfId="0" applyNumberFormat="1" applyFont="1" applyFill="1" applyBorder="1" applyAlignment="1">
      <alignment horizontal="right" vertical="top"/>
    </xf>
    <xf numFmtId="49" fontId="4" fillId="5" borderId="11" xfId="0" applyNumberFormat="1" applyFont="1" applyFill="1" applyBorder="1" applyAlignment="1">
      <alignment horizontal="right" vertical="top" wrapText="1"/>
    </xf>
    <xf numFmtId="0" fontId="9" fillId="5" borderId="7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4" fillId="5" borderId="11" xfId="0" applyFont="1" applyFill="1" applyBorder="1" applyAlignment="1">
      <alignment vertical="top" wrapText="1"/>
    </xf>
    <xf numFmtId="0" fontId="0" fillId="5" borderId="0" xfId="0" applyFill="1" applyAlignment="1"/>
    <xf numFmtId="0" fontId="4" fillId="5" borderId="9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vertical="center"/>
    </xf>
    <xf numFmtId="14" fontId="4" fillId="5" borderId="11" xfId="0" applyNumberFormat="1" applyFont="1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3" fontId="4" fillId="5" borderId="9" xfId="0" applyNumberFormat="1" applyFont="1" applyFill="1" applyBorder="1" applyAlignment="1">
      <alignment vertical="top"/>
    </xf>
    <xf numFmtId="3" fontId="4" fillId="5" borderId="11" xfId="0" applyNumberFormat="1" applyFont="1" applyFill="1" applyBorder="1" applyAlignment="1">
      <alignment vertical="top"/>
    </xf>
    <xf numFmtId="3" fontId="4" fillId="5" borderId="9" xfId="0" applyNumberFormat="1" applyFont="1" applyFill="1" applyBorder="1" applyAlignment="1">
      <alignment horizontal="right" vertical="top" wrapText="1"/>
    </xf>
    <xf numFmtId="3" fontId="4" fillId="5" borderId="11" xfId="0" applyNumberFormat="1" applyFont="1" applyFill="1" applyBorder="1" applyAlignment="1">
      <alignment horizontal="right" vertical="top" wrapText="1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65" fontId="4" fillId="5" borderId="9" xfId="0" applyNumberFormat="1" applyFont="1" applyFill="1" applyBorder="1" applyAlignment="1">
      <alignment horizontal="right" vertical="center"/>
    </xf>
    <xf numFmtId="165" fontId="4" fillId="5" borderId="11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vertical="top"/>
    </xf>
    <xf numFmtId="3" fontId="4" fillId="5" borderId="10" xfId="0" applyNumberFormat="1" applyFont="1" applyFill="1" applyBorder="1" applyAlignment="1">
      <alignment horizontal="right" vertical="top" wrapText="1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right" vertical="center"/>
    </xf>
    <xf numFmtId="165" fontId="4" fillId="5" borderId="10" xfId="0" applyNumberFormat="1" applyFont="1" applyFill="1" applyBorder="1" applyAlignment="1">
      <alignment horizontal="right" vertical="center"/>
    </xf>
    <xf numFmtId="14" fontId="4" fillId="5" borderId="10" xfId="0" applyNumberFormat="1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9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/>
    </xf>
    <xf numFmtId="0" fontId="0" fillId="5" borderId="11" xfId="0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0" fontId="0" fillId="5" borderId="10" xfId="0" applyFill="1" applyBorder="1" applyAlignment="1">
      <alignment horizontal="left" vertical="top"/>
    </xf>
    <xf numFmtId="0" fontId="4" fillId="5" borderId="9" xfId="0" applyFont="1" applyFill="1" applyBorder="1" applyAlignment="1">
      <alignment vertical="top" wrapText="1"/>
    </xf>
    <xf numFmtId="0" fontId="4" fillId="5" borderId="11" xfId="0" applyFont="1" applyFill="1" applyBorder="1" applyAlignment="1">
      <alignment vertical="top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3" fontId="4" fillId="5" borderId="9" xfId="0" applyNumberFormat="1" applyFont="1" applyFill="1" applyBorder="1" applyAlignment="1">
      <alignment horizontal="center" vertical="center" wrapText="1"/>
    </xf>
    <xf numFmtId="3" fontId="4" fillId="5" borderId="10" xfId="0" applyNumberFormat="1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wrapText="1"/>
    </xf>
    <xf numFmtId="0" fontId="4" fillId="5" borderId="11" xfId="0" applyFont="1" applyFill="1" applyBorder="1" applyAlignment="1"/>
    <xf numFmtId="0" fontId="4" fillId="5" borderId="9" xfId="0" applyFont="1" applyFill="1" applyBorder="1" applyAlignment="1">
      <alignment vertical="top"/>
    </xf>
    <xf numFmtId="0" fontId="4" fillId="5" borderId="9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vertical="top"/>
    </xf>
    <xf numFmtId="0" fontId="0" fillId="5" borderId="11" xfId="0" applyFill="1" applyBorder="1" applyAlignment="1">
      <alignment horizontal="right" vertical="top" wrapText="1"/>
    </xf>
    <xf numFmtId="0" fontId="4" fillId="5" borderId="10" xfId="0" applyFont="1" applyFill="1" applyBorder="1" applyAlignment="1"/>
    <xf numFmtId="0" fontId="0" fillId="5" borderId="11" xfId="0" applyFill="1" applyBorder="1" applyAlignment="1">
      <alignment vertical="top" wrapText="1"/>
    </xf>
    <xf numFmtId="0" fontId="0" fillId="5" borderId="11" xfId="0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left"/>
    </xf>
    <xf numFmtId="0" fontId="0" fillId="5" borderId="11" xfId="0" applyFill="1" applyBorder="1" applyAlignment="1">
      <alignment horizontal="left" wrapText="1"/>
    </xf>
    <xf numFmtId="0" fontId="9" fillId="5" borderId="10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vertical="top" wrapText="1"/>
    </xf>
    <xf numFmtId="0" fontId="0" fillId="5" borderId="11" xfId="0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11"/>
  <sheetViews>
    <sheetView tabSelected="1" zoomScale="85" zoomScaleNormal="85" workbookViewId="0">
      <selection activeCell="L6" sqref="L6"/>
    </sheetView>
  </sheetViews>
  <sheetFormatPr defaultRowHeight="13.2" x14ac:dyDescent="0.25"/>
  <cols>
    <col min="1" max="1" width="5.5546875" style="1" customWidth="1"/>
    <col min="2" max="2" width="16.88671875" style="2" customWidth="1"/>
    <col min="3" max="3" width="5.6640625" style="3" customWidth="1"/>
    <col min="4" max="4" width="11.6640625" style="3" customWidth="1"/>
    <col min="5" max="5" width="8.33203125" style="3" customWidth="1"/>
    <col min="6" max="6" width="15.6640625" style="3" customWidth="1"/>
    <col min="7" max="7" width="9" style="4" customWidth="1"/>
    <col min="8" max="8" width="11.88671875" style="5" customWidth="1"/>
    <col min="9" max="9" width="12.109375" style="16" customWidth="1"/>
    <col min="10" max="10" width="4.33203125" style="6" customWidth="1"/>
    <col min="11" max="11" width="5.6640625" style="6" customWidth="1"/>
    <col min="12" max="12" width="7.33203125" style="21" customWidth="1"/>
    <col min="13" max="13" width="7.33203125" style="7" customWidth="1"/>
    <col min="14" max="14" width="12.109375" style="7" customWidth="1"/>
    <col min="15" max="15" width="11" style="8" customWidth="1"/>
    <col min="16" max="18" width="9.109375" style="9"/>
    <col min="26" max="39" width="9.109375" style="26"/>
  </cols>
  <sheetData>
    <row r="1" spans="1:39" ht="21.75" customHeight="1" x14ac:dyDescent="0.25">
      <c r="B1" s="186" t="s">
        <v>0</v>
      </c>
      <c r="C1" s="186"/>
      <c r="D1" s="186"/>
      <c r="E1" s="186"/>
      <c r="F1" s="186"/>
      <c r="G1" s="186"/>
      <c r="H1" s="186"/>
      <c r="I1" s="10"/>
    </row>
    <row r="2" spans="1:39" ht="15.75" customHeight="1" x14ac:dyDescent="0.25">
      <c r="B2" s="186" t="s">
        <v>992</v>
      </c>
      <c r="C2" s="186"/>
      <c r="D2" s="186"/>
      <c r="E2" s="186"/>
      <c r="F2" s="186"/>
      <c r="G2" s="186"/>
      <c r="H2" s="186"/>
      <c r="I2" s="10"/>
    </row>
    <row r="3" spans="1:39" ht="18.75" customHeight="1" x14ac:dyDescent="0.25">
      <c r="B3" s="10"/>
      <c r="C3" s="10"/>
      <c r="D3" s="10"/>
      <c r="E3" s="10"/>
      <c r="F3" s="10"/>
      <c r="G3" s="10"/>
      <c r="H3" s="11"/>
    </row>
    <row r="4" spans="1:39" ht="66.599999999999994" customHeight="1" x14ac:dyDescent="0.25">
      <c r="B4" s="185" t="s">
        <v>1128</v>
      </c>
      <c r="C4" s="185"/>
      <c r="D4" s="185"/>
      <c r="E4" s="185"/>
      <c r="F4" s="185"/>
      <c r="G4" s="185"/>
      <c r="H4" s="185"/>
      <c r="I4" s="10"/>
    </row>
    <row r="5" spans="1:39" ht="69.75" customHeight="1" x14ac:dyDescent="0.25">
      <c r="A5" s="18"/>
      <c r="B5" s="53"/>
      <c r="C5" s="53"/>
      <c r="D5" s="53" t="s">
        <v>1</v>
      </c>
      <c r="E5" s="53" t="s">
        <v>991</v>
      </c>
      <c r="F5" s="53" t="s">
        <v>2</v>
      </c>
      <c r="G5" s="53" t="s">
        <v>65</v>
      </c>
      <c r="H5" s="53"/>
      <c r="I5"/>
      <c r="J5"/>
      <c r="K5"/>
      <c r="L5"/>
      <c r="M5"/>
      <c r="N5"/>
      <c r="O5"/>
      <c r="P5"/>
      <c r="Q5"/>
      <c r="R5"/>
    </row>
    <row r="6" spans="1:39" s="13" customFormat="1" ht="18.75" customHeight="1" x14ac:dyDescent="0.25">
      <c r="A6" s="17"/>
      <c r="B6" s="54">
        <v>2007</v>
      </c>
      <c r="C6" s="55"/>
      <c r="D6" s="54">
        <v>9</v>
      </c>
      <c r="E6" s="54">
        <v>11</v>
      </c>
      <c r="F6" s="56">
        <v>154118</v>
      </c>
      <c r="G6" s="57"/>
      <c r="H6" s="58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</row>
    <row r="7" spans="1:39" s="13" customFormat="1" ht="18.75" customHeight="1" x14ac:dyDescent="0.25">
      <c r="A7" s="17"/>
      <c r="B7" s="54">
        <v>2008</v>
      </c>
      <c r="C7" s="55"/>
      <c r="D7" s="54">
        <v>44</v>
      </c>
      <c r="E7" s="54">
        <v>45</v>
      </c>
      <c r="F7" s="56">
        <v>333446</v>
      </c>
      <c r="G7" s="56">
        <v>3728</v>
      </c>
      <c r="H7" s="58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</row>
    <row r="8" spans="1:39" s="13" customFormat="1" ht="18.75" customHeight="1" x14ac:dyDescent="0.25">
      <c r="A8" s="17"/>
      <c r="B8" s="54">
        <v>2009</v>
      </c>
      <c r="C8" s="54"/>
      <c r="D8" s="54">
        <v>56</v>
      </c>
      <c r="E8" s="54">
        <v>58</v>
      </c>
      <c r="F8" s="56">
        <v>319410</v>
      </c>
      <c r="G8" s="57"/>
      <c r="H8" s="58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</row>
    <row r="9" spans="1:39" s="13" customFormat="1" ht="18.75" customHeight="1" x14ac:dyDescent="0.25">
      <c r="A9" s="17"/>
      <c r="B9" s="54">
        <v>2010</v>
      </c>
      <c r="C9" s="54"/>
      <c r="D9" s="54">
        <v>111</v>
      </c>
      <c r="E9" s="54">
        <v>117</v>
      </c>
      <c r="F9" s="59">
        <v>719142</v>
      </c>
      <c r="G9" s="57"/>
      <c r="H9" s="58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spans="1:39" s="13" customFormat="1" ht="18.75" customHeight="1" x14ac:dyDescent="0.25">
      <c r="A10" s="17"/>
      <c r="B10" s="54">
        <v>2011</v>
      </c>
      <c r="C10" s="54"/>
      <c r="D10" s="54">
        <v>50</v>
      </c>
      <c r="E10" s="54">
        <v>66</v>
      </c>
      <c r="F10" s="56">
        <v>481156</v>
      </c>
      <c r="G10" s="57"/>
      <c r="H10" s="58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</row>
    <row r="11" spans="1:39" s="13" customFormat="1" ht="18.75" customHeight="1" x14ac:dyDescent="0.25">
      <c r="A11" s="17"/>
      <c r="B11" s="54">
        <v>2012</v>
      </c>
      <c r="C11" s="54"/>
      <c r="D11" s="54">
        <v>38</v>
      </c>
      <c r="E11" s="54">
        <v>58</v>
      </c>
      <c r="F11" s="56">
        <v>492679</v>
      </c>
      <c r="G11" s="57"/>
      <c r="H11" s="58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</row>
    <row r="12" spans="1:39" s="13" customFormat="1" ht="18.75" customHeight="1" x14ac:dyDescent="0.25">
      <c r="A12" s="17"/>
      <c r="B12" s="54">
        <v>2013</v>
      </c>
      <c r="C12" s="54"/>
      <c r="D12" s="54">
        <v>337</v>
      </c>
      <c r="E12" s="54">
        <v>465</v>
      </c>
      <c r="F12" s="56">
        <v>2598525</v>
      </c>
      <c r="G12" s="57"/>
      <c r="H12" s="58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</row>
    <row r="13" spans="1:39" s="13" customFormat="1" ht="18.75" customHeight="1" x14ac:dyDescent="0.25">
      <c r="A13" s="17"/>
      <c r="B13" s="54">
        <v>2014</v>
      </c>
      <c r="C13" s="54"/>
      <c r="D13" s="54">
        <v>299</v>
      </c>
      <c r="E13" s="56">
        <v>540</v>
      </c>
      <c r="F13" s="56">
        <v>3250983</v>
      </c>
      <c r="G13" s="57"/>
      <c r="H13" s="58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</row>
    <row r="14" spans="1:39" s="12" customFormat="1" ht="18.75" customHeight="1" x14ac:dyDescent="0.25">
      <c r="A14" s="19"/>
      <c r="B14" s="63">
        <v>2015</v>
      </c>
      <c r="C14" s="63"/>
      <c r="D14" s="63">
        <v>368</v>
      </c>
      <c r="E14" s="59">
        <v>466</v>
      </c>
      <c r="F14" s="59">
        <f>G609</f>
        <v>2301083.7269129553</v>
      </c>
      <c r="G14" s="61"/>
      <c r="H14" s="62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</row>
    <row r="15" spans="1:39" s="12" customFormat="1" ht="36" customHeight="1" x14ac:dyDescent="0.25">
      <c r="A15" s="19"/>
      <c r="B15" s="208" t="s">
        <v>284</v>
      </c>
      <c r="C15" s="208"/>
      <c r="D15" s="60">
        <f>SUM(D6:D14)</f>
        <v>1312</v>
      </c>
      <c r="E15" s="60">
        <f>SUM(E6:E14)</f>
        <v>1826</v>
      </c>
      <c r="F15" s="61">
        <f>SUM(F6:F14)</f>
        <v>10650542.726912955</v>
      </c>
      <c r="G15" s="61">
        <f>SUM(G6:G9)</f>
        <v>3728</v>
      </c>
      <c r="H15" s="62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spans="1:39" s="12" customFormat="1" ht="33" customHeight="1" x14ac:dyDescent="0.25">
      <c r="A16" s="19"/>
      <c r="B16" s="207" t="s">
        <v>301</v>
      </c>
      <c r="C16" s="207"/>
      <c r="D16" s="63">
        <v>29</v>
      </c>
      <c r="E16" s="63">
        <v>30</v>
      </c>
      <c r="F16" s="59">
        <v>180630</v>
      </c>
      <c r="G16" s="64"/>
      <c r="H16" s="62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</row>
    <row r="17" spans="1:39" s="12" customFormat="1" ht="46.2" customHeight="1" x14ac:dyDescent="0.25">
      <c r="A17" s="19"/>
      <c r="B17" s="207" t="s">
        <v>299</v>
      </c>
      <c r="C17" s="207"/>
      <c r="D17" s="63">
        <v>9</v>
      </c>
      <c r="E17" s="63">
        <v>9</v>
      </c>
      <c r="F17" s="59">
        <v>27849</v>
      </c>
      <c r="G17" s="64"/>
      <c r="H17" s="62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</row>
    <row r="18" spans="1:39" s="12" customFormat="1" ht="34.200000000000003" customHeight="1" x14ac:dyDescent="0.25">
      <c r="A18" s="19"/>
      <c r="B18" s="207" t="s">
        <v>300</v>
      </c>
      <c r="C18" s="207"/>
      <c r="D18" s="63">
        <v>20</v>
      </c>
      <c r="E18" s="63">
        <v>21</v>
      </c>
      <c r="F18" s="59">
        <v>51541</v>
      </c>
      <c r="G18" s="64"/>
      <c r="H18" s="62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</row>
    <row r="19" spans="1:39" s="13" customFormat="1" ht="73.2" customHeight="1" x14ac:dyDescent="0.25">
      <c r="A19" s="17"/>
      <c r="B19" s="209" t="s">
        <v>1127</v>
      </c>
      <c r="C19" s="209"/>
      <c r="D19" s="54">
        <v>20</v>
      </c>
      <c r="E19" s="56">
        <v>20</v>
      </c>
      <c r="F19" s="65"/>
      <c r="G19" s="66"/>
      <c r="H19" s="58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</row>
    <row r="20" spans="1:39" s="13" customFormat="1" ht="57" customHeight="1" x14ac:dyDescent="0.25">
      <c r="A20" s="20"/>
      <c r="B20" s="210" t="s">
        <v>180</v>
      </c>
      <c r="C20" s="210"/>
      <c r="D20" s="53">
        <f>SUM(D15:D19)</f>
        <v>1390</v>
      </c>
      <c r="E20" s="67">
        <f>SUM(E15:E19)</f>
        <v>1906</v>
      </c>
      <c r="F20" s="67">
        <f>SUM(F15:F19)</f>
        <v>10910562.726912955</v>
      </c>
      <c r="G20" s="68"/>
      <c r="H20" s="69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</row>
    <row r="21" spans="1:39" s="13" customFormat="1" ht="171.6" customHeight="1" x14ac:dyDescent="0.25">
      <c r="A21" s="19"/>
      <c r="B21" s="63" t="s">
        <v>61</v>
      </c>
      <c r="C21" s="63"/>
      <c r="D21" s="63">
        <f>13</f>
        <v>13</v>
      </c>
      <c r="E21" s="56">
        <v>13</v>
      </c>
      <c r="F21" s="59">
        <v>78500</v>
      </c>
      <c r="G21" s="207" t="s">
        <v>62</v>
      </c>
      <c r="H21" s="207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</row>
    <row r="22" spans="1:39" s="13" customFormat="1" ht="19.5" customHeight="1" x14ac:dyDescent="0.25">
      <c r="A22" s="19"/>
      <c r="B22" s="60" t="s">
        <v>66</v>
      </c>
      <c r="C22" s="60"/>
      <c r="D22" s="60">
        <f>D21+D20</f>
        <v>1403</v>
      </c>
      <c r="E22" s="61">
        <f>SUM(E20+E21)</f>
        <v>1919</v>
      </c>
      <c r="F22" s="70"/>
      <c r="G22" s="70"/>
      <c r="H22" s="70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</row>
    <row r="23" spans="1:39" ht="18.75" customHeight="1" x14ac:dyDescent="0.25">
      <c r="B23" s="10"/>
      <c r="C23" s="10"/>
      <c r="D23" s="10"/>
      <c r="E23" s="10"/>
      <c r="F23" s="10"/>
      <c r="G23" s="10"/>
      <c r="H23" s="11"/>
    </row>
    <row r="24" spans="1:39" ht="90" customHeight="1" x14ac:dyDescent="0.25">
      <c r="A24" s="28"/>
      <c r="B24" s="29" t="s">
        <v>3</v>
      </c>
      <c r="C24" s="30" t="s">
        <v>4</v>
      </c>
      <c r="D24" s="30" t="s">
        <v>5</v>
      </c>
      <c r="E24" s="30" t="s">
        <v>6</v>
      </c>
      <c r="F24" s="30" t="s">
        <v>7</v>
      </c>
      <c r="G24" s="30" t="s">
        <v>8</v>
      </c>
      <c r="H24" s="30" t="s">
        <v>998</v>
      </c>
      <c r="I24" s="30" t="s">
        <v>9</v>
      </c>
      <c r="J24" s="31" t="s">
        <v>178</v>
      </c>
      <c r="K24" s="31" t="s">
        <v>179</v>
      </c>
      <c r="L24" s="30" t="s">
        <v>10</v>
      </c>
      <c r="M24" s="30" t="s">
        <v>11</v>
      </c>
      <c r="N24" s="30" t="s">
        <v>136</v>
      </c>
      <c r="O24" s="30" t="s">
        <v>12</v>
      </c>
    </row>
    <row r="25" spans="1:39" s="15" customFormat="1" ht="23.25" customHeight="1" x14ac:dyDescent="0.25">
      <c r="A25" s="32"/>
      <c r="B25" s="33">
        <v>2015</v>
      </c>
      <c r="C25" s="34"/>
      <c r="D25" s="34"/>
      <c r="E25" s="35"/>
      <c r="F25" s="34"/>
      <c r="G25" s="36"/>
      <c r="H25" s="37"/>
      <c r="I25" s="38"/>
      <c r="J25" s="39"/>
      <c r="K25" s="39"/>
      <c r="L25" s="39"/>
      <c r="M25" s="40"/>
      <c r="N25" s="40"/>
      <c r="O25" s="41"/>
      <c r="P25" s="14"/>
      <c r="Q25" s="14"/>
      <c r="R25" s="14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</row>
    <row r="26" spans="1:39" s="71" customFormat="1" ht="59.4" customHeight="1" x14ac:dyDescent="0.25">
      <c r="A26" s="77">
        <v>1036</v>
      </c>
      <c r="B26" s="78" t="s">
        <v>176</v>
      </c>
      <c r="C26" s="78">
        <v>2008</v>
      </c>
      <c r="D26" s="78" t="s">
        <v>29</v>
      </c>
      <c r="E26" s="78">
        <v>2015</v>
      </c>
      <c r="F26" s="78" t="s">
        <v>44</v>
      </c>
      <c r="G26" s="79">
        <v>7787</v>
      </c>
      <c r="H26" s="80" t="s">
        <v>177</v>
      </c>
      <c r="I26" s="139" t="s">
        <v>27</v>
      </c>
      <c r="J26" s="81">
        <v>1</v>
      </c>
      <c r="K26" s="81">
        <v>1454</v>
      </c>
      <c r="L26" s="81">
        <v>183.8</v>
      </c>
      <c r="M26" s="82"/>
      <c r="N26" s="83">
        <f>G26*L26</f>
        <v>1431250.6</v>
      </c>
      <c r="O26" s="84">
        <v>42009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9" customFormat="1" ht="60" customHeight="1" x14ac:dyDescent="0.25">
      <c r="A27" s="77"/>
      <c r="B27" s="78" t="s">
        <v>152</v>
      </c>
      <c r="C27" s="78">
        <v>2012</v>
      </c>
      <c r="D27" s="78" t="s">
        <v>29</v>
      </c>
      <c r="E27" s="78" t="s">
        <v>181</v>
      </c>
      <c r="F27" s="78" t="s">
        <v>69</v>
      </c>
      <c r="G27" s="79">
        <v>7997</v>
      </c>
      <c r="H27" s="80" t="s">
        <v>182</v>
      </c>
      <c r="I27" s="85" t="s">
        <v>27</v>
      </c>
      <c r="J27" s="81">
        <v>2</v>
      </c>
      <c r="K27" s="81">
        <v>1455</v>
      </c>
      <c r="L27" s="81">
        <v>183.8</v>
      </c>
      <c r="M27" s="82"/>
      <c r="N27" s="83">
        <f>G27*L27</f>
        <v>1469848.6</v>
      </c>
      <c r="O27" s="84">
        <v>42009</v>
      </c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9" customFormat="1" ht="41.4" customHeight="1" x14ac:dyDescent="0.25">
      <c r="A28" s="77"/>
      <c r="B28" s="78" t="s">
        <v>93</v>
      </c>
      <c r="C28" s="78">
        <v>2012</v>
      </c>
      <c r="D28" s="78" t="s">
        <v>29</v>
      </c>
      <c r="E28" s="78" t="s">
        <v>183</v>
      </c>
      <c r="F28" s="78" t="s">
        <v>91</v>
      </c>
      <c r="G28" s="79">
        <v>5800</v>
      </c>
      <c r="H28" s="80" t="s">
        <v>147</v>
      </c>
      <c r="I28" s="140" t="s">
        <v>27</v>
      </c>
      <c r="J28" s="81">
        <v>3</v>
      </c>
      <c r="K28" s="81">
        <v>1456</v>
      </c>
      <c r="L28" s="81">
        <v>183.8</v>
      </c>
      <c r="M28" s="82"/>
      <c r="N28" s="83">
        <f>G28*L28</f>
        <v>1066040</v>
      </c>
      <c r="O28" s="84">
        <v>42009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9" customFormat="1" ht="40.200000000000003" customHeight="1" x14ac:dyDescent="0.25">
      <c r="A29" s="77">
        <v>1037</v>
      </c>
      <c r="B29" s="78" t="s">
        <v>184</v>
      </c>
      <c r="C29" s="78">
        <v>2012</v>
      </c>
      <c r="D29" s="78" t="s">
        <v>29</v>
      </c>
      <c r="E29" s="78">
        <v>2015</v>
      </c>
      <c r="F29" s="78" t="s">
        <v>91</v>
      </c>
      <c r="G29" s="79">
        <v>5800</v>
      </c>
      <c r="H29" s="80" t="s">
        <v>147</v>
      </c>
      <c r="I29" s="140" t="s">
        <v>27</v>
      </c>
      <c r="J29" s="81">
        <v>4</v>
      </c>
      <c r="K29" s="81">
        <v>1457</v>
      </c>
      <c r="L29" s="81">
        <v>183.8</v>
      </c>
      <c r="M29" s="82"/>
      <c r="N29" s="83">
        <f>G29*L29</f>
        <v>1066040</v>
      </c>
      <c r="O29" s="84">
        <v>42009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71" customFormat="1" ht="49.2" customHeight="1" x14ac:dyDescent="0.25">
      <c r="A30" s="77"/>
      <c r="B30" s="78" t="s">
        <v>154</v>
      </c>
      <c r="C30" s="78">
        <v>2013</v>
      </c>
      <c r="D30" s="78" t="s">
        <v>59</v>
      </c>
      <c r="E30" s="78" t="s">
        <v>186</v>
      </c>
      <c r="F30" s="78" t="s">
        <v>155</v>
      </c>
      <c r="G30" s="79">
        <f>N30/L30</f>
        <v>2353.508221551961</v>
      </c>
      <c r="H30" s="80" t="s">
        <v>185</v>
      </c>
      <c r="I30" s="85" t="s">
        <v>132</v>
      </c>
      <c r="J30" s="81"/>
      <c r="K30" s="81"/>
      <c r="L30" s="81">
        <v>182.35</v>
      </c>
      <c r="M30" s="82">
        <v>4.87</v>
      </c>
      <c r="N30" s="83">
        <f>88123.66*M30</f>
        <v>429162.22420000006</v>
      </c>
      <c r="O30" s="84">
        <v>42009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9" customFormat="1" ht="33.6" customHeight="1" x14ac:dyDescent="0.25">
      <c r="A31" s="173">
        <v>1038</v>
      </c>
      <c r="B31" s="175" t="s">
        <v>187</v>
      </c>
      <c r="C31" s="175">
        <v>2008</v>
      </c>
      <c r="D31" s="175" t="s">
        <v>188</v>
      </c>
      <c r="E31" s="193">
        <v>2015</v>
      </c>
      <c r="F31" s="196" t="s">
        <v>189</v>
      </c>
      <c r="G31" s="86">
        <v>9000</v>
      </c>
      <c r="H31" s="80" t="s">
        <v>47</v>
      </c>
      <c r="I31" s="199" t="s">
        <v>132</v>
      </c>
      <c r="J31" s="157">
        <v>5</v>
      </c>
      <c r="K31" s="157">
        <v>1458</v>
      </c>
      <c r="L31" s="87">
        <v>183.71</v>
      </c>
      <c r="M31" s="88"/>
      <c r="N31" s="89">
        <f>G31*L31</f>
        <v>1653390</v>
      </c>
      <c r="O31" s="84">
        <v>42012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9" customFormat="1" ht="32.4" customHeight="1" x14ac:dyDescent="0.25">
      <c r="A32" s="179"/>
      <c r="B32" s="181"/>
      <c r="C32" s="181"/>
      <c r="D32" s="181"/>
      <c r="E32" s="194"/>
      <c r="F32" s="196"/>
      <c r="G32" s="86">
        <v>9000</v>
      </c>
      <c r="H32" s="80" t="s">
        <v>47</v>
      </c>
      <c r="I32" s="200"/>
      <c r="J32" s="168"/>
      <c r="K32" s="168"/>
      <c r="L32" s="87">
        <v>183.71</v>
      </c>
      <c r="M32" s="88"/>
      <c r="N32" s="89">
        <f>G32*L32</f>
        <v>1653390</v>
      </c>
      <c r="O32" s="84">
        <v>42017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9" customFormat="1" ht="31.2" customHeight="1" x14ac:dyDescent="0.25">
      <c r="A33" s="174"/>
      <c r="B33" s="176"/>
      <c r="C33" s="176"/>
      <c r="D33" s="176"/>
      <c r="E33" s="195"/>
      <c r="F33" s="196"/>
      <c r="G33" s="86">
        <v>9000</v>
      </c>
      <c r="H33" s="80" t="s">
        <v>47</v>
      </c>
      <c r="I33" s="201"/>
      <c r="J33" s="158"/>
      <c r="K33" s="158"/>
      <c r="L33" s="87">
        <v>183.71</v>
      </c>
      <c r="M33" s="88"/>
      <c r="N33" s="89">
        <f>G33*L33</f>
        <v>1653390</v>
      </c>
      <c r="O33" s="84">
        <v>42019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9" customFormat="1" ht="34.950000000000003" customHeight="1" x14ac:dyDescent="0.25">
      <c r="A34" s="77"/>
      <c r="B34" s="78" t="s">
        <v>172</v>
      </c>
      <c r="C34" s="78">
        <v>2013</v>
      </c>
      <c r="D34" s="78" t="s">
        <v>171</v>
      </c>
      <c r="E34" s="78" t="s">
        <v>186</v>
      </c>
      <c r="F34" s="90" t="s">
        <v>173</v>
      </c>
      <c r="G34" s="79">
        <f>N34/L34</f>
        <v>4279.6031521442228</v>
      </c>
      <c r="H34" s="80" t="s">
        <v>1042</v>
      </c>
      <c r="I34" s="85" t="s">
        <v>132</v>
      </c>
      <c r="J34" s="81"/>
      <c r="K34" s="81"/>
      <c r="L34" s="81">
        <v>183.05</v>
      </c>
      <c r="M34" s="82">
        <v>227.7</v>
      </c>
      <c r="N34" s="83">
        <f>3440.41*M34</f>
        <v>783381.35699999996</v>
      </c>
      <c r="O34" s="84">
        <v>42012</v>
      </c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9" customFormat="1" ht="64.95" customHeight="1" x14ac:dyDescent="0.25">
      <c r="A35" s="77">
        <v>1039</v>
      </c>
      <c r="B35" s="78" t="s">
        <v>191</v>
      </c>
      <c r="C35" s="78">
        <v>2012</v>
      </c>
      <c r="D35" s="78" t="s">
        <v>59</v>
      </c>
      <c r="E35" s="90">
        <v>2015</v>
      </c>
      <c r="F35" s="90" t="s">
        <v>192</v>
      </c>
      <c r="G35" s="79">
        <f>N35/L35</f>
        <v>2692.3631163170799</v>
      </c>
      <c r="H35" s="80" t="s">
        <v>193</v>
      </c>
      <c r="I35" s="91" t="s">
        <v>132</v>
      </c>
      <c r="J35" s="81">
        <v>6</v>
      </c>
      <c r="K35" s="81">
        <v>1459</v>
      </c>
      <c r="L35" s="87">
        <v>183.55</v>
      </c>
      <c r="M35" s="82">
        <v>4.87</v>
      </c>
      <c r="N35" s="83">
        <f>101475*M35</f>
        <v>494183.25</v>
      </c>
      <c r="O35" s="84">
        <v>42019</v>
      </c>
      <c r="P35" s="2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9" customFormat="1" ht="55.2" customHeight="1" x14ac:dyDescent="0.25">
      <c r="A36" s="77"/>
      <c r="B36" s="78" t="s">
        <v>133</v>
      </c>
      <c r="C36" s="78">
        <v>2010</v>
      </c>
      <c r="D36" s="90" t="s">
        <v>134</v>
      </c>
      <c r="E36" s="90" t="s">
        <v>195</v>
      </c>
      <c r="F36" s="90" t="s">
        <v>196</v>
      </c>
      <c r="G36" s="79">
        <f>N36/L36</f>
        <v>1300.4531735222008</v>
      </c>
      <c r="H36" s="80" t="s">
        <v>194</v>
      </c>
      <c r="I36" s="91" t="s">
        <v>132</v>
      </c>
      <c r="J36" s="81">
        <v>7</v>
      </c>
      <c r="K36" s="81">
        <v>1460</v>
      </c>
      <c r="L36" s="87">
        <v>183.55</v>
      </c>
      <c r="M36" s="82">
        <v>4.87</v>
      </c>
      <c r="N36" s="83">
        <f>49014*M36</f>
        <v>238698.18</v>
      </c>
      <c r="O36" s="84">
        <v>42019</v>
      </c>
      <c r="P36" s="25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9" customFormat="1" ht="60.6" customHeight="1" x14ac:dyDescent="0.25">
      <c r="A37" s="77"/>
      <c r="B37" s="78" t="s">
        <v>187</v>
      </c>
      <c r="C37" s="78">
        <v>2008</v>
      </c>
      <c r="D37" s="78" t="s">
        <v>188</v>
      </c>
      <c r="E37" s="90" t="s">
        <v>197</v>
      </c>
      <c r="F37" s="78" t="s">
        <v>189</v>
      </c>
      <c r="G37" s="79">
        <v>2000</v>
      </c>
      <c r="H37" s="80" t="s">
        <v>79</v>
      </c>
      <c r="I37" s="91" t="s">
        <v>239</v>
      </c>
      <c r="J37" s="81"/>
      <c r="K37" s="81"/>
      <c r="L37" s="87">
        <v>183.71</v>
      </c>
      <c r="M37" s="82"/>
      <c r="N37" s="83">
        <f>G37*L37</f>
        <v>367420</v>
      </c>
      <c r="O37" s="84">
        <v>42023</v>
      </c>
      <c r="P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9" customFormat="1" ht="37.200000000000003" customHeight="1" x14ac:dyDescent="0.25">
      <c r="A38" s="77"/>
      <c r="B38" s="78" t="s">
        <v>148</v>
      </c>
      <c r="C38" s="78">
        <v>2011</v>
      </c>
      <c r="D38" s="78" t="s">
        <v>29</v>
      </c>
      <c r="E38" s="90" t="s">
        <v>181</v>
      </c>
      <c r="F38" s="78" t="s">
        <v>91</v>
      </c>
      <c r="G38" s="79">
        <v>5800</v>
      </c>
      <c r="H38" s="80" t="s">
        <v>147</v>
      </c>
      <c r="I38" s="91" t="s">
        <v>27</v>
      </c>
      <c r="J38" s="81">
        <v>8</v>
      </c>
      <c r="K38" s="81">
        <v>1461</v>
      </c>
      <c r="L38" s="87">
        <v>185.56</v>
      </c>
      <c r="M38" s="82"/>
      <c r="N38" s="83">
        <f>G38*L38</f>
        <v>1076248</v>
      </c>
      <c r="O38" s="84">
        <v>42034</v>
      </c>
      <c r="P38" s="25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9" customFormat="1" ht="40.200000000000003" customHeight="1" x14ac:dyDescent="0.25">
      <c r="A39" s="77">
        <v>1040</v>
      </c>
      <c r="B39" s="78" t="s">
        <v>198</v>
      </c>
      <c r="C39" s="78">
        <v>2011</v>
      </c>
      <c r="D39" s="78" t="s">
        <v>29</v>
      </c>
      <c r="E39" s="90">
        <v>2015</v>
      </c>
      <c r="F39" s="78" t="s">
        <v>91</v>
      </c>
      <c r="G39" s="79">
        <v>5800</v>
      </c>
      <c r="H39" s="80" t="s">
        <v>147</v>
      </c>
      <c r="I39" s="91" t="s">
        <v>27</v>
      </c>
      <c r="J39" s="81">
        <v>9</v>
      </c>
      <c r="K39" s="81">
        <v>1462</v>
      </c>
      <c r="L39" s="87">
        <v>185.56</v>
      </c>
      <c r="M39" s="82"/>
      <c r="N39" s="83">
        <f>G39*L39</f>
        <v>1076248</v>
      </c>
      <c r="O39" s="84">
        <v>42034</v>
      </c>
      <c r="P39" s="25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s="9" customFormat="1" ht="37.950000000000003" customHeight="1" x14ac:dyDescent="0.25">
      <c r="A40" s="77">
        <v>1041</v>
      </c>
      <c r="B40" s="78" t="s">
        <v>199</v>
      </c>
      <c r="C40" s="78">
        <v>2013</v>
      </c>
      <c r="D40" s="78" t="s">
        <v>29</v>
      </c>
      <c r="E40" s="90">
        <v>2015</v>
      </c>
      <c r="F40" s="78" t="s">
        <v>91</v>
      </c>
      <c r="G40" s="79">
        <v>5800</v>
      </c>
      <c r="H40" s="80" t="s">
        <v>147</v>
      </c>
      <c r="I40" s="91" t="s">
        <v>27</v>
      </c>
      <c r="J40" s="81">
        <v>10</v>
      </c>
      <c r="K40" s="81">
        <v>1463</v>
      </c>
      <c r="L40" s="87">
        <v>185.56</v>
      </c>
      <c r="M40" s="82"/>
      <c r="N40" s="83">
        <f>G40*L40</f>
        <v>1076248</v>
      </c>
      <c r="O40" s="84">
        <v>42034</v>
      </c>
      <c r="P40" s="25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s="9" customFormat="1" ht="41.4" customHeight="1" x14ac:dyDescent="0.25">
      <c r="A41" s="77"/>
      <c r="B41" s="78" t="s">
        <v>30</v>
      </c>
      <c r="C41" s="78">
        <v>2005</v>
      </c>
      <c r="D41" s="78" t="s">
        <v>29</v>
      </c>
      <c r="E41" s="90" t="s">
        <v>183</v>
      </c>
      <c r="F41" s="91" t="s">
        <v>200</v>
      </c>
      <c r="G41" s="79">
        <f t="shared" ref="G41:G51" si="0">N41/L41</f>
        <v>3036.5952832746002</v>
      </c>
      <c r="H41" s="80" t="s">
        <v>201</v>
      </c>
      <c r="I41" s="91" t="s">
        <v>27</v>
      </c>
      <c r="J41" s="81">
        <v>11</v>
      </c>
      <c r="K41" s="81">
        <v>1464</v>
      </c>
      <c r="L41" s="87">
        <v>184.45</v>
      </c>
      <c r="M41" s="82">
        <v>2.8005</v>
      </c>
      <c r="N41" s="83">
        <f>200000*M41</f>
        <v>560100</v>
      </c>
      <c r="O41" s="84">
        <v>42034</v>
      </c>
      <c r="P41" s="25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9" customFormat="1" ht="49.2" customHeight="1" x14ac:dyDescent="0.25">
      <c r="A42" s="77">
        <v>1042</v>
      </c>
      <c r="B42" s="78" t="s">
        <v>202</v>
      </c>
      <c r="C42" s="78">
        <v>2009</v>
      </c>
      <c r="D42" s="78" t="s">
        <v>29</v>
      </c>
      <c r="E42" s="90">
        <v>2015</v>
      </c>
      <c r="F42" s="90" t="s">
        <v>96</v>
      </c>
      <c r="G42" s="79">
        <f t="shared" si="0"/>
        <v>2149.1503117375987</v>
      </c>
      <c r="H42" s="80" t="s">
        <v>203</v>
      </c>
      <c r="I42" s="91" t="s">
        <v>27</v>
      </c>
      <c r="J42" s="81">
        <v>12</v>
      </c>
      <c r="K42" s="81">
        <v>1465</v>
      </c>
      <c r="L42" s="87">
        <v>184.45</v>
      </c>
      <c r="M42" s="82">
        <v>2.8005</v>
      </c>
      <c r="N42" s="83">
        <f>141550*M42</f>
        <v>396410.77500000002</v>
      </c>
      <c r="O42" s="84">
        <v>42034</v>
      </c>
      <c r="P42" s="2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71" customFormat="1" ht="47.4" customHeight="1" x14ac:dyDescent="0.25">
      <c r="A43" s="77"/>
      <c r="B43" s="78" t="s">
        <v>110</v>
      </c>
      <c r="C43" s="78">
        <v>2010</v>
      </c>
      <c r="D43" s="78" t="s">
        <v>29</v>
      </c>
      <c r="E43" s="90" t="s">
        <v>181</v>
      </c>
      <c r="F43" s="90" t="s">
        <v>96</v>
      </c>
      <c r="G43" s="79">
        <f t="shared" si="0"/>
        <v>2907.5399837354298</v>
      </c>
      <c r="H43" s="80" t="s">
        <v>204</v>
      </c>
      <c r="I43" s="91" t="s">
        <v>27</v>
      </c>
      <c r="J43" s="81">
        <v>13</v>
      </c>
      <c r="K43" s="81">
        <v>1466</v>
      </c>
      <c r="L43" s="87">
        <v>184.45</v>
      </c>
      <c r="M43" s="82">
        <v>2.8005</v>
      </c>
      <c r="N43" s="83">
        <f>191500*M43</f>
        <v>536295.75</v>
      </c>
      <c r="O43" s="84">
        <v>42034</v>
      </c>
      <c r="P43" s="25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9" customFormat="1" ht="48" customHeight="1" x14ac:dyDescent="0.25">
      <c r="A44" s="77"/>
      <c r="B44" s="78" t="s">
        <v>43</v>
      </c>
      <c r="C44" s="78">
        <v>2012</v>
      </c>
      <c r="D44" s="78" t="s">
        <v>29</v>
      </c>
      <c r="E44" s="90" t="s">
        <v>181</v>
      </c>
      <c r="F44" s="90" t="s">
        <v>96</v>
      </c>
      <c r="G44" s="79">
        <f t="shared" si="0"/>
        <v>2236.4524261317433</v>
      </c>
      <c r="H44" s="80" t="s">
        <v>1001</v>
      </c>
      <c r="I44" s="91" t="s">
        <v>27</v>
      </c>
      <c r="J44" s="81">
        <v>14</v>
      </c>
      <c r="K44" s="81">
        <v>1467</v>
      </c>
      <c r="L44" s="87">
        <v>184.45</v>
      </c>
      <c r="M44" s="82">
        <v>2.8005</v>
      </c>
      <c r="N44" s="83">
        <f>147300*M44</f>
        <v>412513.65</v>
      </c>
      <c r="O44" s="84">
        <v>42034</v>
      </c>
      <c r="P44" s="2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s="9" customFormat="1" ht="58.95" customHeight="1" x14ac:dyDescent="0.25">
      <c r="A45" s="77"/>
      <c r="B45" s="78" t="s">
        <v>166</v>
      </c>
      <c r="C45" s="78">
        <v>2011</v>
      </c>
      <c r="D45" s="78" t="s">
        <v>29</v>
      </c>
      <c r="E45" s="90" t="s">
        <v>181</v>
      </c>
      <c r="F45" s="90" t="s">
        <v>167</v>
      </c>
      <c r="G45" s="79">
        <f t="shared" si="0"/>
        <v>535.19991867714828</v>
      </c>
      <c r="H45" s="80" t="s">
        <v>205</v>
      </c>
      <c r="I45" s="91" t="s">
        <v>27</v>
      </c>
      <c r="J45" s="81">
        <v>15</v>
      </c>
      <c r="K45" s="81">
        <v>1468</v>
      </c>
      <c r="L45" s="87">
        <v>184.45</v>
      </c>
      <c r="M45" s="82">
        <v>2.8005</v>
      </c>
      <c r="N45" s="83">
        <f>35250*M45</f>
        <v>98717.625</v>
      </c>
      <c r="O45" s="84">
        <v>42034</v>
      </c>
      <c r="P45" s="2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9" customFormat="1" ht="37.950000000000003" customHeight="1" x14ac:dyDescent="0.25">
      <c r="A46" s="77"/>
      <c r="B46" s="78" t="s">
        <v>163</v>
      </c>
      <c r="C46" s="78">
        <v>2007</v>
      </c>
      <c r="D46" s="78" t="s">
        <v>29</v>
      </c>
      <c r="E46" s="90" t="s">
        <v>181</v>
      </c>
      <c r="F46" s="90" t="s">
        <v>164</v>
      </c>
      <c r="G46" s="79">
        <f t="shared" si="0"/>
        <v>2385.2455950121985</v>
      </c>
      <c r="H46" s="80" t="s">
        <v>206</v>
      </c>
      <c r="I46" s="91" t="s">
        <v>27</v>
      </c>
      <c r="J46" s="81">
        <v>16</v>
      </c>
      <c r="K46" s="81">
        <v>1469</v>
      </c>
      <c r="L46" s="87">
        <v>184.45</v>
      </c>
      <c r="M46" s="82">
        <v>2.8005</v>
      </c>
      <c r="N46" s="83">
        <f>157100*M46</f>
        <v>439958.55</v>
      </c>
      <c r="O46" s="84">
        <v>42034</v>
      </c>
      <c r="P46" s="2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9" customFormat="1" ht="47.4" customHeight="1" x14ac:dyDescent="0.25">
      <c r="A47" s="77"/>
      <c r="B47" s="78" t="s">
        <v>80</v>
      </c>
      <c r="C47" s="78">
        <v>2010</v>
      </c>
      <c r="D47" s="78" t="s">
        <v>29</v>
      </c>
      <c r="E47" s="90" t="s">
        <v>207</v>
      </c>
      <c r="F47" s="78" t="s">
        <v>104</v>
      </c>
      <c r="G47" s="79">
        <f t="shared" si="0"/>
        <v>1703.3781241528868</v>
      </c>
      <c r="H47" s="80" t="s">
        <v>1074</v>
      </c>
      <c r="I47" s="91" t="s">
        <v>27</v>
      </c>
      <c r="J47" s="81">
        <v>17</v>
      </c>
      <c r="K47" s="81">
        <v>1470</v>
      </c>
      <c r="L47" s="87">
        <v>184.45</v>
      </c>
      <c r="M47" s="82">
        <v>2.8005</v>
      </c>
      <c r="N47" s="83">
        <f>112190*M47</f>
        <v>314188.09499999997</v>
      </c>
      <c r="O47" s="84">
        <v>42034</v>
      </c>
      <c r="P47" s="2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9" customFormat="1" ht="49.2" customHeight="1" x14ac:dyDescent="0.25">
      <c r="A48" s="77"/>
      <c r="B48" s="78" t="s">
        <v>94</v>
      </c>
      <c r="C48" s="78">
        <v>2011</v>
      </c>
      <c r="D48" s="78" t="s">
        <v>29</v>
      </c>
      <c r="E48" s="90" t="s">
        <v>183</v>
      </c>
      <c r="F48" s="78" t="s">
        <v>92</v>
      </c>
      <c r="G48" s="79">
        <f t="shared" si="0"/>
        <v>1062.8083491461102</v>
      </c>
      <c r="H48" s="80" t="s">
        <v>174</v>
      </c>
      <c r="I48" s="91" t="s">
        <v>27</v>
      </c>
      <c r="J48" s="81">
        <v>18</v>
      </c>
      <c r="K48" s="81">
        <v>1471</v>
      </c>
      <c r="L48" s="87">
        <v>184.45</v>
      </c>
      <c r="M48" s="82">
        <v>2.8005</v>
      </c>
      <c r="N48" s="83">
        <f>70000*M48</f>
        <v>196035</v>
      </c>
      <c r="O48" s="84">
        <v>42034</v>
      </c>
      <c r="P48" s="25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71" customFormat="1" ht="48" customHeight="1" x14ac:dyDescent="0.25">
      <c r="A49" s="77">
        <v>1043</v>
      </c>
      <c r="B49" s="78" t="s">
        <v>208</v>
      </c>
      <c r="C49" s="78">
        <v>2011</v>
      </c>
      <c r="D49" s="78" t="s">
        <v>29</v>
      </c>
      <c r="E49" s="90">
        <v>2015</v>
      </c>
      <c r="F49" s="78" t="s">
        <v>104</v>
      </c>
      <c r="G49" s="79">
        <f t="shared" si="0"/>
        <v>683.99308755760364</v>
      </c>
      <c r="H49" s="80" t="s">
        <v>209</v>
      </c>
      <c r="I49" s="91" t="s">
        <v>27</v>
      </c>
      <c r="J49" s="81">
        <v>19</v>
      </c>
      <c r="K49" s="81">
        <v>1472</v>
      </c>
      <c r="L49" s="87">
        <v>184.45</v>
      </c>
      <c r="M49" s="82">
        <v>2.8005</v>
      </c>
      <c r="N49" s="83">
        <f>45050*M49</f>
        <v>126162.52499999999</v>
      </c>
      <c r="O49" s="84">
        <v>42034</v>
      </c>
      <c r="P49" s="25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71" customFormat="1" ht="45" customHeight="1" x14ac:dyDescent="0.25">
      <c r="A50" s="77"/>
      <c r="B50" s="78" t="s">
        <v>49</v>
      </c>
      <c r="C50" s="78">
        <v>2009</v>
      </c>
      <c r="D50" s="78" t="s">
        <v>29</v>
      </c>
      <c r="E50" s="90" t="s">
        <v>181</v>
      </c>
      <c r="F50" s="78" t="s">
        <v>92</v>
      </c>
      <c r="G50" s="79">
        <f t="shared" si="0"/>
        <v>1747.5605855245324</v>
      </c>
      <c r="H50" s="80" t="s">
        <v>210</v>
      </c>
      <c r="I50" s="91" t="s">
        <v>27</v>
      </c>
      <c r="J50" s="81">
        <v>20</v>
      </c>
      <c r="K50" s="81">
        <v>1473</v>
      </c>
      <c r="L50" s="87">
        <v>184.45</v>
      </c>
      <c r="M50" s="82">
        <v>2.8005</v>
      </c>
      <c r="N50" s="83">
        <f>115100*M50</f>
        <v>322337.55</v>
      </c>
      <c r="O50" s="84">
        <v>42034</v>
      </c>
      <c r="P50" s="25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71" customFormat="1" ht="48.6" customHeight="1" x14ac:dyDescent="0.25">
      <c r="A51" s="77">
        <v>1044</v>
      </c>
      <c r="B51" s="78" t="s">
        <v>211</v>
      </c>
      <c r="C51" s="78">
        <v>2010</v>
      </c>
      <c r="D51" s="78" t="s">
        <v>29</v>
      </c>
      <c r="E51" s="90">
        <v>2015</v>
      </c>
      <c r="F51" s="90" t="s">
        <v>96</v>
      </c>
      <c r="G51" s="79">
        <f t="shared" si="0"/>
        <v>1980.6192735158579</v>
      </c>
      <c r="H51" s="80" t="s">
        <v>212</v>
      </c>
      <c r="I51" s="91" t="s">
        <v>27</v>
      </c>
      <c r="J51" s="81">
        <v>21</v>
      </c>
      <c r="K51" s="81">
        <v>1474</v>
      </c>
      <c r="L51" s="87">
        <v>184.45</v>
      </c>
      <c r="M51" s="82">
        <v>2.8005</v>
      </c>
      <c r="N51" s="83">
        <f>130450*M51</f>
        <v>365325.22499999998</v>
      </c>
      <c r="O51" s="84">
        <v>42034</v>
      </c>
      <c r="P51" s="25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9" customFormat="1" ht="57.6" customHeight="1" x14ac:dyDescent="0.25">
      <c r="A52" s="77">
        <v>1045</v>
      </c>
      <c r="B52" s="78" t="s">
        <v>213</v>
      </c>
      <c r="C52" s="78">
        <v>2008</v>
      </c>
      <c r="D52" s="78" t="s">
        <v>29</v>
      </c>
      <c r="E52" s="90">
        <v>2015</v>
      </c>
      <c r="F52" s="78" t="s">
        <v>44</v>
      </c>
      <c r="G52" s="79">
        <v>3965</v>
      </c>
      <c r="H52" s="80" t="s">
        <v>214</v>
      </c>
      <c r="I52" s="91" t="s">
        <v>27</v>
      </c>
      <c r="J52" s="81">
        <v>22</v>
      </c>
      <c r="K52" s="81">
        <v>1475</v>
      </c>
      <c r="L52" s="87">
        <v>185.56</v>
      </c>
      <c r="M52" s="82"/>
      <c r="N52" s="83">
        <f>G52*L52</f>
        <v>735745.4</v>
      </c>
      <c r="O52" s="84">
        <v>42034</v>
      </c>
      <c r="P52" s="25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s="9" customFormat="1" ht="39.6" customHeight="1" x14ac:dyDescent="0.25">
      <c r="A53" s="77"/>
      <c r="B53" s="78" t="s">
        <v>87</v>
      </c>
      <c r="C53" s="78">
        <v>2010</v>
      </c>
      <c r="D53" s="78" t="s">
        <v>29</v>
      </c>
      <c r="E53" s="90" t="s">
        <v>181</v>
      </c>
      <c r="F53" s="91" t="s">
        <v>200</v>
      </c>
      <c r="G53" s="79">
        <f t="shared" ref="G53:G61" si="1">N53/L53</f>
        <v>2808.8506370290052</v>
      </c>
      <c r="H53" s="80" t="s">
        <v>215</v>
      </c>
      <c r="I53" s="91" t="s">
        <v>27</v>
      </c>
      <c r="J53" s="81">
        <v>23</v>
      </c>
      <c r="K53" s="81">
        <v>1476</v>
      </c>
      <c r="L53" s="87">
        <v>184.45</v>
      </c>
      <c r="M53" s="82">
        <v>2.8005</v>
      </c>
      <c r="N53" s="83">
        <f>185000*M53</f>
        <v>518092.5</v>
      </c>
      <c r="O53" s="84">
        <v>42034</v>
      </c>
      <c r="P53" s="25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s="9" customFormat="1" ht="42" customHeight="1" x14ac:dyDescent="0.25">
      <c r="A54" s="77"/>
      <c r="B54" s="78" t="s">
        <v>151</v>
      </c>
      <c r="C54" s="78">
        <v>2013</v>
      </c>
      <c r="D54" s="78" t="s">
        <v>29</v>
      </c>
      <c r="E54" s="90" t="s">
        <v>181</v>
      </c>
      <c r="F54" s="78" t="s">
        <v>92</v>
      </c>
      <c r="G54" s="79">
        <f t="shared" si="1"/>
        <v>1862.9512062889671</v>
      </c>
      <c r="H54" s="80" t="s">
        <v>216</v>
      </c>
      <c r="I54" s="91" t="s">
        <v>27</v>
      </c>
      <c r="J54" s="81">
        <v>24</v>
      </c>
      <c r="K54" s="81">
        <v>1477</v>
      </c>
      <c r="L54" s="87">
        <v>184.45</v>
      </c>
      <c r="M54" s="82">
        <v>2.8005</v>
      </c>
      <c r="N54" s="83">
        <f>122700*M54</f>
        <v>343621.35</v>
      </c>
      <c r="O54" s="84">
        <v>42034</v>
      </c>
      <c r="P54" s="25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s="24" customFormat="1" ht="43.95" customHeight="1" x14ac:dyDescent="0.25">
      <c r="A55" s="77"/>
      <c r="B55" s="78" t="s">
        <v>1111</v>
      </c>
      <c r="C55" s="78">
        <v>2008</v>
      </c>
      <c r="D55" s="78" t="s">
        <v>29</v>
      </c>
      <c r="E55" s="90" t="s">
        <v>181</v>
      </c>
      <c r="F55" s="90" t="s">
        <v>469</v>
      </c>
      <c r="G55" s="79">
        <f>N55/L55</f>
        <v>4947.2493358633783</v>
      </c>
      <c r="H55" s="80" t="s">
        <v>1112</v>
      </c>
      <c r="I55" s="91" t="s">
        <v>27</v>
      </c>
      <c r="J55" s="81">
        <v>25</v>
      </c>
      <c r="K55" s="81">
        <v>1478</v>
      </c>
      <c r="L55" s="87">
        <v>184.45</v>
      </c>
      <c r="M55" s="82">
        <v>29.54</v>
      </c>
      <c r="N55" s="83">
        <f>30891*M55</f>
        <v>912520.14</v>
      </c>
      <c r="O55" s="84">
        <v>42034</v>
      </c>
      <c r="P55" s="25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s="9" customFormat="1" ht="49.2" customHeight="1" x14ac:dyDescent="0.25">
      <c r="A56" s="77">
        <v>1046</v>
      </c>
      <c r="B56" s="78" t="s">
        <v>217</v>
      </c>
      <c r="C56" s="78">
        <v>2010</v>
      </c>
      <c r="D56" s="78" t="s">
        <v>29</v>
      </c>
      <c r="E56" s="90">
        <v>2015</v>
      </c>
      <c r="F56" s="90" t="s">
        <v>96</v>
      </c>
      <c r="G56" s="79">
        <f t="shared" si="1"/>
        <v>2144.6965573326106</v>
      </c>
      <c r="H56" s="80" t="s">
        <v>218</v>
      </c>
      <c r="I56" s="91" t="s">
        <v>27</v>
      </c>
      <c r="J56" s="81">
        <v>26</v>
      </c>
      <c r="K56" s="81">
        <v>1479</v>
      </c>
      <c r="L56" s="87">
        <v>184.45</v>
      </c>
      <c r="M56" s="82">
        <v>2.7547999999999999</v>
      </c>
      <c r="N56" s="83">
        <f>143600*M56</f>
        <v>395589.27999999997</v>
      </c>
      <c r="O56" s="84">
        <v>42037</v>
      </c>
      <c r="P56" s="25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s="9" customFormat="1" ht="46.2" customHeight="1" x14ac:dyDescent="0.25">
      <c r="A57" s="77">
        <v>1047</v>
      </c>
      <c r="B57" s="78" t="s">
        <v>219</v>
      </c>
      <c r="C57" s="78">
        <v>2011</v>
      </c>
      <c r="D57" s="78" t="s">
        <v>29</v>
      </c>
      <c r="E57" s="90">
        <v>2015</v>
      </c>
      <c r="F57" s="90" t="s">
        <v>96</v>
      </c>
      <c r="G57" s="79">
        <f t="shared" si="1"/>
        <v>1563.716779615072</v>
      </c>
      <c r="H57" s="80" t="s">
        <v>1016</v>
      </c>
      <c r="I57" s="91" t="s">
        <v>27</v>
      </c>
      <c r="J57" s="81">
        <v>27</v>
      </c>
      <c r="K57" s="81">
        <v>1480</v>
      </c>
      <c r="L57" s="87">
        <v>184.45</v>
      </c>
      <c r="M57" s="82">
        <v>2.7547999999999999</v>
      </c>
      <c r="N57" s="83">
        <f>104700*M57</f>
        <v>288427.56</v>
      </c>
      <c r="O57" s="84">
        <v>42037</v>
      </c>
      <c r="P57" s="2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9" customFormat="1" ht="48.6" customHeight="1" x14ac:dyDescent="0.25">
      <c r="A58" s="77"/>
      <c r="B58" s="78" t="s">
        <v>111</v>
      </c>
      <c r="C58" s="78">
        <v>2004</v>
      </c>
      <c r="D58" s="78" t="s">
        <v>29</v>
      </c>
      <c r="E58" s="90" t="s">
        <v>181</v>
      </c>
      <c r="F58" s="90" t="s">
        <v>96</v>
      </c>
      <c r="G58" s="79">
        <f t="shared" si="1"/>
        <v>1992.3573868256981</v>
      </c>
      <c r="H58" s="80" t="s">
        <v>220</v>
      </c>
      <c r="I58" s="91" t="s">
        <v>27</v>
      </c>
      <c r="J58" s="81">
        <v>28</v>
      </c>
      <c r="K58" s="81">
        <v>1481</v>
      </c>
      <c r="L58" s="87">
        <v>184.45</v>
      </c>
      <c r="M58" s="82">
        <v>2.7547999999999999</v>
      </c>
      <c r="N58" s="83">
        <f>133400*M58</f>
        <v>367490.32</v>
      </c>
      <c r="O58" s="84">
        <v>42037</v>
      </c>
      <c r="P58" s="2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9" customFormat="1" ht="48" customHeight="1" x14ac:dyDescent="0.25">
      <c r="A59" s="77">
        <v>1048</v>
      </c>
      <c r="B59" s="78" t="s">
        <v>221</v>
      </c>
      <c r="C59" s="78">
        <v>2011</v>
      </c>
      <c r="D59" s="78" t="s">
        <v>29</v>
      </c>
      <c r="E59" s="90">
        <v>2015</v>
      </c>
      <c r="F59" s="90" t="s">
        <v>96</v>
      </c>
      <c r="G59" s="79">
        <f t="shared" si="1"/>
        <v>2219.372621306587</v>
      </c>
      <c r="H59" s="80" t="s">
        <v>222</v>
      </c>
      <c r="I59" s="91" t="s">
        <v>27</v>
      </c>
      <c r="J59" s="81">
        <v>29</v>
      </c>
      <c r="K59" s="81">
        <v>1482</v>
      </c>
      <c r="L59" s="87">
        <v>184.45</v>
      </c>
      <c r="M59" s="82">
        <v>2.7547999999999999</v>
      </c>
      <c r="N59" s="83">
        <f>148600*M59</f>
        <v>409363.27999999997</v>
      </c>
      <c r="O59" s="84">
        <v>42037</v>
      </c>
      <c r="P59" s="25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9" customFormat="1" ht="49.2" customHeight="1" x14ac:dyDescent="0.25">
      <c r="A60" s="77">
        <v>1049</v>
      </c>
      <c r="B60" s="78" t="s">
        <v>223</v>
      </c>
      <c r="C60" s="78">
        <v>2010</v>
      </c>
      <c r="D60" s="78" t="s">
        <v>29</v>
      </c>
      <c r="E60" s="90">
        <v>2015</v>
      </c>
      <c r="F60" s="90" t="s">
        <v>96</v>
      </c>
      <c r="G60" s="79">
        <f t="shared" si="1"/>
        <v>2591.2594198969909</v>
      </c>
      <c r="H60" s="80" t="s">
        <v>224</v>
      </c>
      <c r="I60" s="91" t="s">
        <v>27</v>
      </c>
      <c r="J60" s="81">
        <v>30</v>
      </c>
      <c r="K60" s="81">
        <v>1483</v>
      </c>
      <c r="L60" s="87">
        <v>184.45</v>
      </c>
      <c r="M60" s="82">
        <v>2.7547999999999999</v>
      </c>
      <c r="N60" s="83">
        <f>173500*M60</f>
        <v>477957.8</v>
      </c>
      <c r="O60" s="84">
        <v>42037</v>
      </c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s="9" customFormat="1" ht="41.4" customHeight="1" x14ac:dyDescent="0.25">
      <c r="A61" s="77"/>
      <c r="B61" s="78" t="s">
        <v>225</v>
      </c>
      <c r="C61" s="78">
        <v>2008</v>
      </c>
      <c r="D61" s="78" t="s">
        <v>29</v>
      </c>
      <c r="E61" s="90" t="s">
        <v>183</v>
      </c>
      <c r="F61" s="141" t="s">
        <v>226</v>
      </c>
      <c r="G61" s="79">
        <f t="shared" si="1"/>
        <v>1919.1748441312009</v>
      </c>
      <c r="H61" s="80" t="s">
        <v>227</v>
      </c>
      <c r="I61" s="91" t="s">
        <v>27</v>
      </c>
      <c r="J61" s="81">
        <v>31</v>
      </c>
      <c r="K61" s="81">
        <v>1484</v>
      </c>
      <c r="L61" s="87">
        <v>184.45</v>
      </c>
      <c r="M61" s="82">
        <v>2.7547999999999999</v>
      </c>
      <c r="N61" s="83">
        <f>128500*M61</f>
        <v>353991.8</v>
      </c>
      <c r="O61" s="84">
        <v>42037</v>
      </c>
      <c r="P61" s="25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s="9" customFormat="1" ht="43.2" customHeight="1" x14ac:dyDescent="0.25">
      <c r="A62" s="173">
        <v>1050</v>
      </c>
      <c r="B62" s="175" t="s">
        <v>228</v>
      </c>
      <c r="C62" s="175">
        <v>2012</v>
      </c>
      <c r="D62" s="175" t="s">
        <v>229</v>
      </c>
      <c r="E62" s="175">
        <v>2015</v>
      </c>
      <c r="F62" s="197" t="s">
        <v>102</v>
      </c>
      <c r="G62" s="153">
        <v>5337</v>
      </c>
      <c r="H62" s="155" t="s">
        <v>1083</v>
      </c>
      <c r="I62" s="161" t="s">
        <v>27</v>
      </c>
      <c r="J62" s="157">
        <v>32</v>
      </c>
      <c r="K62" s="157">
        <v>1485</v>
      </c>
      <c r="L62" s="157">
        <v>185.56</v>
      </c>
      <c r="M62" s="145"/>
      <c r="N62" s="159">
        <f>G62*L62</f>
        <v>990333.72</v>
      </c>
      <c r="O62" s="149">
        <v>42037</v>
      </c>
      <c r="P62" s="25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s="9" customFormat="1" ht="16.2" customHeight="1" x14ac:dyDescent="0.25">
      <c r="A63" s="174"/>
      <c r="B63" s="176"/>
      <c r="C63" s="176"/>
      <c r="D63" s="176"/>
      <c r="E63" s="176"/>
      <c r="F63" s="198"/>
      <c r="G63" s="154"/>
      <c r="H63" s="156"/>
      <c r="I63" s="162"/>
      <c r="J63" s="158"/>
      <c r="K63" s="158"/>
      <c r="L63" s="158"/>
      <c r="M63" s="146"/>
      <c r="N63" s="160"/>
      <c r="O63" s="150"/>
      <c r="P63" s="25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s="9" customFormat="1" ht="61.2" customHeight="1" x14ac:dyDescent="0.25">
      <c r="A64" s="77">
        <v>1051</v>
      </c>
      <c r="B64" s="78" t="s">
        <v>230</v>
      </c>
      <c r="C64" s="78">
        <v>2012</v>
      </c>
      <c r="D64" s="78" t="s">
        <v>29</v>
      </c>
      <c r="E64" s="90">
        <v>2015</v>
      </c>
      <c r="F64" s="78" t="s">
        <v>69</v>
      </c>
      <c r="G64" s="79">
        <v>3998</v>
      </c>
      <c r="H64" s="80" t="s">
        <v>231</v>
      </c>
      <c r="I64" s="91" t="s">
        <v>27</v>
      </c>
      <c r="J64" s="81">
        <v>33</v>
      </c>
      <c r="K64" s="81">
        <v>1486</v>
      </c>
      <c r="L64" s="87">
        <v>185.56</v>
      </c>
      <c r="M64" s="82"/>
      <c r="N64" s="83">
        <f t="shared" ref="N64:N71" si="2">G64*L64</f>
        <v>741868.88</v>
      </c>
      <c r="O64" s="84">
        <v>42038</v>
      </c>
      <c r="P64" s="25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s="9" customFormat="1" ht="61.2" customHeight="1" x14ac:dyDescent="0.25">
      <c r="A65" s="77">
        <v>1052</v>
      </c>
      <c r="B65" s="78" t="s">
        <v>232</v>
      </c>
      <c r="C65" s="78">
        <v>2013</v>
      </c>
      <c r="D65" s="78" t="s">
        <v>29</v>
      </c>
      <c r="E65" s="90">
        <v>2015</v>
      </c>
      <c r="F65" s="78" t="s">
        <v>69</v>
      </c>
      <c r="G65" s="79">
        <v>4000</v>
      </c>
      <c r="H65" s="80" t="s">
        <v>95</v>
      </c>
      <c r="I65" s="91" t="s">
        <v>27</v>
      </c>
      <c r="J65" s="81">
        <v>34</v>
      </c>
      <c r="K65" s="81">
        <v>1487</v>
      </c>
      <c r="L65" s="87">
        <v>185.56</v>
      </c>
      <c r="M65" s="82"/>
      <c r="N65" s="83">
        <f t="shared" si="2"/>
        <v>742240</v>
      </c>
      <c r="O65" s="84">
        <v>42038</v>
      </c>
      <c r="P65" s="2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s="9" customFormat="1" ht="57.6" customHeight="1" x14ac:dyDescent="0.25">
      <c r="A66" s="77"/>
      <c r="B66" s="78" t="s">
        <v>233</v>
      </c>
      <c r="C66" s="78">
        <v>2006</v>
      </c>
      <c r="D66" s="78" t="s">
        <v>29</v>
      </c>
      <c r="E66" s="90" t="s">
        <v>181</v>
      </c>
      <c r="F66" s="78" t="s">
        <v>69</v>
      </c>
      <c r="G66" s="79">
        <v>4000</v>
      </c>
      <c r="H66" s="80" t="s">
        <v>95</v>
      </c>
      <c r="I66" s="91" t="s">
        <v>27</v>
      </c>
      <c r="J66" s="81">
        <v>35</v>
      </c>
      <c r="K66" s="81">
        <v>1488</v>
      </c>
      <c r="L66" s="87">
        <v>185.56</v>
      </c>
      <c r="M66" s="82"/>
      <c r="N66" s="83">
        <f t="shared" si="2"/>
        <v>742240</v>
      </c>
      <c r="O66" s="84">
        <v>42038</v>
      </c>
      <c r="P66" s="25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s="24" customFormat="1" ht="59.4" customHeight="1" x14ac:dyDescent="0.25">
      <c r="A67" s="77">
        <v>1053</v>
      </c>
      <c r="B67" s="78" t="s">
        <v>1098</v>
      </c>
      <c r="C67" s="78">
        <v>2003</v>
      </c>
      <c r="D67" s="78" t="s">
        <v>29</v>
      </c>
      <c r="E67" s="90">
        <v>2015</v>
      </c>
      <c r="F67" s="78" t="s">
        <v>69</v>
      </c>
      <c r="G67" s="79">
        <v>3998</v>
      </c>
      <c r="H67" s="80" t="s">
        <v>231</v>
      </c>
      <c r="I67" s="91" t="s">
        <v>27</v>
      </c>
      <c r="J67" s="81">
        <v>36</v>
      </c>
      <c r="K67" s="81">
        <v>1489</v>
      </c>
      <c r="L67" s="87">
        <v>185.56</v>
      </c>
      <c r="M67" s="82"/>
      <c r="N67" s="83">
        <f t="shared" si="2"/>
        <v>741868.88</v>
      </c>
      <c r="O67" s="84">
        <v>42038</v>
      </c>
      <c r="P67" s="25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s="9" customFormat="1" ht="57" customHeight="1" x14ac:dyDescent="0.25">
      <c r="A68" s="77">
        <v>1054</v>
      </c>
      <c r="B68" s="78" t="s">
        <v>234</v>
      </c>
      <c r="C68" s="78">
        <v>2007</v>
      </c>
      <c r="D68" s="78" t="s">
        <v>29</v>
      </c>
      <c r="E68" s="90">
        <v>2015</v>
      </c>
      <c r="F68" s="78" t="s">
        <v>69</v>
      </c>
      <c r="G68" s="79">
        <v>4000</v>
      </c>
      <c r="H68" s="80" t="s">
        <v>95</v>
      </c>
      <c r="I68" s="91" t="s">
        <v>27</v>
      </c>
      <c r="J68" s="81">
        <v>37</v>
      </c>
      <c r="K68" s="81">
        <v>1490</v>
      </c>
      <c r="L68" s="87">
        <v>185.56</v>
      </c>
      <c r="M68" s="82"/>
      <c r="N68" s="83">
        <f t="shared" si="2"/>
        <v>742240</v>
      </c>
      <c r="O68" s="84">
        <v>42038</v>
      </c>
      <c r="P68" s="25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s="9" customFormat="1" ht="57.6" customHeight="1" x14ac:dyDescent="0.25">
      <c r="A69" s="77">
        <v>1055</v>
      </c>
      <c r="B69" s="78" t="s">
        <v>235</v>
      </c>
      <c r="C69" s="78">
        <v>2011</v>
      </c>
      <c r="D69" s="78" t="s">
        <v>29</v>
      </c>
      <c r="E69" s="90">
        <v>2015</v>
      </c>
      <c r="F69" s="78" t="s">
        <v>69</v>
      </c>
      <c r="G69" s="79">
        <v>3998</v>
      </c>
      <c r="H69" s="80" t="s">
        <v>231</v>
      </c>
      <c r="I69" s="91" t="s">
        <v>27</v>
      </c>
      <c r="J69" s="81">
        <v>38</v>
      </c>
      <c r="K69" s="81">
        <v>1491</v>
      </c>
      <c r="L69" s="87">
        <v>185.56</v>
      </c>
      <c r="M69" s="82"/>
      <c r="N69" s="83">
        <f t="shared" si="2"/>
        <v>741868.88</v>
      </c>
      <c r="O69" s="84">
        <v>42038</v>
      </c>
      <c r="P69" s="25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39" s="9" customFormat="1" ht="59.4" customHeight="1" x14ac:dyDescent="0.25">
      <c r="A70" s="77">
        <v>1056</v>
      </c>
      <c r="B70" s="78" t="s">
        <v>236</v>
      </c>
      <c r="C70" s="78">
        <v>2012</v>
      </c>
      <c r="D70" s="78" t="s">
        <v>29</v>
      </c>
      <c r="E70" s="90">
        <v>2015</v>
      </c>
      <c r="F70" s="78" t="s">
        <v>69</v>
      </c>
      <c r="G70" s="79">
        <v>3998</v>
      </c>
      <c r="H70" s="80" t="s">
        <v>231</v>
      </c>
      <c r="I70" s="91" t="s">
        <v>27</v>
      </c>
      <c r="J70" s="81">
        <v>39</v>
      </c>
      <c r="K70" s="81">
        <v>1492</v>
      </c>
      <c r="L70" s="87">
        <v>185.56</v>
      </c>
      <c r="M70" s="82"/>
      <c r="N70" s="83">
        <f t="shared" si="2"/>
        <v>741868.88</v>
      </c>
      <c r="O70" s="84">
        <v>42038</v>
      </c>
      <c r="P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</row>
    <row r="71" spans="1:39" s="9" customFormat="1" ht="60" customHeight="1" x14ac:dyDescent="0.25">
      <c r="A71" s="77"/>
      <c r="B71" s="78" t="s">
        <v>46</v>
      </c>
      <c r="C71" s="78">
        <v>2004</v>
      </c>
      <c r="D71" s="78" t="s">
        <v>29</v>
      </c>
      <c r="E71" s="90">
        <v>2015</v>
      </c>
      <c r="F71" s="78" t="s">
        <v>69</v>
      </c>
      <c r="G71" s="79">
        <v>3998</v>
      </c>
      <c r="H71" s="80" t="s">
        <v>231</v>
      </c>
      <c r="I71" s="91" t="s">
        <v>27</v>
      </c>
      <c r="J71" s="81">
        <v>40</v>
      </c>
      <c r="K71" s="81">
        <v>1493</v>
      </c>
      <c r="L71" s="87">
        <v>185.56</v>
      </c>
      <c r="M71" s="82"/>
      <c r="N71" s="83">
        <f t="shared" si="2"/>
        <v>741868.88</v>
      </c>
      <c r="O71" s="84">
        <v>42038</v>
      </c>
      <c r="P71" s="25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39" s="9" customFormat="1" ht="60.6" customHeight="1" x14ac:dyDescent="0.25">
      <c r="A72" s="77"/>
      <c r="B72" s="78" t="s">
        <v>114</v>
      </c>
      <c r="C72" s="78">
        <v>2010</v>
      </c>
      <c r="D72" s="78" t="s">
        <v>29</v>
      </c>
      <c r="E72" s="90" t="s">
        <v>181</v>
      </c>
      <c r="F72" s="90" t="s">
        <v>1129</v>
      </c>
      <c r="G72" s="79">
        <f>N72/L72</f>
        <v>4501.7894930875573</v>
      </c>
      <c r="H72" s="80" t="s">
        <v>237</v>
      </c>
      <c r="I72" s="91" t="s">
        <v>27</v>
      </c>
      <c r="J72" s="81">
        <v>41</v>
      </c>
      <c r="K72" s="81">
        <v>1494</v>
      </c>
      <c r="L72" s="87">
        <v>184.45</v>
      </c>
      <c r="M72" s="82">
        <v>211.48</v>
      </c>
      <c r="N72" s="83">
        <f>3926.4*M72</f>
        <v>830355.07199999993</v>
      </c>
      <c r="O72" s="84">
        <v>42038</v>
      </c>
      <c r="P72" s="25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s="9" customFormat="1" ht="48.6" customHeight="1" x14ac:dyDescent="0.25">
      <c r="A73" s="77"/>
      <c r="B73" s="78" t="s">
        <v>159</v>
      </c>
      <c r="C73" s="78">
        <v>2004</v>
      </c>
      <c r="D73" s="78" t="s">
        <v>160</v>
      </c>
      <c r="E73" s="90" t="s">
        <v>197</v>
      </c>
      <c r="F73" s="78" t="s">
        <v>102</v>
      </c>
      <c r="G73" s="79">
        <v>5000</v>
      </c>
      <c r="H73" s="80" t="s">
        <v>98</v>
      </c>
      <c r="I73" s="91" t="s">
        <v>27</v>
      </c>
      <c r="J73" s="81"/>
      <c r="K73" s="81"/>
      <c r="L73" s="87">
        <v>185.86</v>
      </c>
      <c r="M73" s="82"/>
      <c r="N73" s="83">
        <f>G73*L73</f>
        <v>929300.00000000012</v>
      </c>
      <c r="O73" s="84">
        <v>42039</v>
      </c>
      <c r="P73" s="25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s="71" customFormat="1" ht="64.95" customHeight="1" x14ac:dyDescent="0.25">
      <c r="A74" s="173"/>
      <c r="B74" s="175" t="s">
        <v>128</v>
      </c>
      <c r="C74" s="175">
        <v>1999</v>
      </c>
      <c r="D74" s="175" t="s">
        <v>129</v>
      </c>
      <c r="E74" s="175" t="s">
        <v>181</v>
      </c>
      <c r="F74" s="175" t="s">
        <v>240</v>
      </c>
      <c r="G74" s="153">
        <f>N74/L74</f>
        <v>3254.9136238159676</v>
      </c>
      <c r="H74" s="155" t="s">
        <v>249</v>
      </c>
      <c r="I74" s="161" t="s">
        <v>132</v>
      </c>
      <c r="J74" s="157">
        <v>42</v>
      </c>
      <c r="K74" s="157">
        <v>1495</v>
      </c>
      <c r="L74" s="157">
        <v>184.75</v>
      </c>
      <c r="M74" s="145">
        <v>2.7547999999999999</v>
      </c>
      <c r="N74" s="159">
        <f>218290*M74</f>
        <v>601345.29200000002</v>
      </c>
      <c r="O74" s="149">
        <v>42044</v>
      </c>
      <c r="P74" s="25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s="71" customFormat="1" ht="25.2" customHeight="1" x14ac:dyDescent="0.25">
      <c r="A75" s="174"/>
      <c r="B75" s="176"/>
      <c r="C75" s="176"/>
      <c r="D75" s="176"/>
      <c r="E75" s="176"/>
      <c r="F75" s="176"/>
      <c r="G75" s="212"/>
      <c r="H75" s="213"/>
      <c r="I75" s="162"/>
      <c r="J75" s="158"/>
      <c r="K75" s="158"/>
      <c r="L75" s="151"/>
      <c r="M75" s="222"/>
      <c r="N75" s="222"/>
      <c r="O75" s="152"/>
      <c r="P75" s="2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s="9" customFormat="1" ht="61.2" customHeight="1" x14ac:dyDescent="0.25">
      <c r="A76" s="77">
        <v>1057</v>
      </c>
      <c r="B76" s="78" t="s">
        <v>241</v>
      </c>
      <c r="C76" s="78">
        <v>2005</v>
      </c>
      <c r="D76" s="78" t="s">
        <v>29</v>
      </c>
      <c r="E76" s="90">
        <v>2015</v>
      </c>
      <c r="F76" s="78" t="s">
        <v>69</v>
      </c>
      <c r="G76" s="79">
        <v>3998</v>
      </c>
      <c r="H76" s="80" t="s">
        <v>231</v>
      </c>
      <c r="I76" s="91" t="s">
        <v>27</v>
      </c>
      <c r="J76" s="81">
        <v>43</v>
      </c>
      <c r="K76" s="81">
        <v>1496</v>
      </c>
      <c r="L76" s="87">
        <v>185.86</v>
      </c>
      <c r="M76" s="82"/>
      <c r="N76" s="83">
        <f t="shared" ref="N76:N84" si="3">G76*L76</f>
        <v>743068.28</v>
      </c>
      <c r="O76" s="84">
        <v>42041</v>
      </c>
      <c r="P76" s="25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s="24" customFormat="1" ht="43.2" customHeight="1" x14ac:dyDescent="0.25">
      <c r="A77" s="77">
        <v>1058</v>
      </c>
      <c r="B77" s="78" t="s">
        <v>1099</v>
      </c>
      <c r="C77" s="78">
        <v>2009</v>
      </c>
      <c r="D77" s="78" t="s">
        <v>29</v>
      </c>
      <c r="E77" s="90">
        <v>2015</v>
      </c>
      <c r="F77" s="78" t="s">
        <v>44</v>
      </c>
      <c r="G77" s="79">
        <v>3994</v>
      </c>
      <c r="H77" s="80" t="s">
        <v>153</v>
      </c>
      <c r="I77" s="91" t="s">
        <v>27</v>
      </c>
      <c r="J77" s="81">
        <v>44</v>
      </c>
      <c r="K77" s="81">
        <v>1497</v>
      </c>
      <c r="L77" s="87">
        <v>185.86</v>
      </c>
      <c r="M77" s="82"/>
      <c r="N77" s="83">
        <f t="shared" si="3"/>
        <v>742324.84000000008</v>
      </c>
      <c r="O77" s="84">
        <v>42041</v>
      </c>
      <c r="P77" s="25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s="9" customFormat="1" ht="44.4" customHeight="1" x14ac:dyDescent="0.25">
      <c r="A78" s="77">
        <v>1059</v>
      </c>
      <c r="B78" s="78" t="s">
        <v>242</v>
      </c>
      <c r="C78" s="78">
        <v>2009</v>
      </c>
      <c r="D78" s="78" t="s">
        <v>29</v>
      </c>
      <c r="E78" s="90">
        <v>2015</v>
      </c>
      <c r="F78" s="78" t="s">
        <v>44</v>
      </c>
      <c r="G78" s="79">
        <v>3994</v>
      </c>
      <c r="H78" s="80" t="s">
        <v>153</v>
      </c>
      <c r="I78" s="91" t="s">
        <v>27</v>
      </c>
      <c r="J78" s="81">
        <v>45</v>
      </c>
      <c r="K78" s="81">
        <v>1498</v>
      </c>
      <c r="L78" s="87">
        <v>185.86</v>
      </c>
      <c r="M78" s="82"/>
      <c r="N78" s="83">
        <f t="shared" si="3"/>
        <v>742324.84000000008</v>
      </c>
      <c r="O78" s="84">
        <v>42041</v>
      </c>
      <c r="P78" s="25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s="9" customFormat="1" ht="60.6" customHeight="1" x14ac:dyDescent="0.25">
      <c r="A79" s="77"/>
      <c r="B79" s="78" t="s">
        <v>243</v>
      </c>
      <c r="C79" s="78">
        <v>2005</v>
      </c>
      <c r="D79" s="78" t="s">
        <v>29</v>
      </c>
      <c r="E79" s="90" t="s">
        <v>181</v>
      </c>
      <c r="F79" s="78" t="s">
        <v>69</v>
      </c>
      <c r="G79" s="79">
        <v>3998</v>
      </c>
      <c r="H79" s="80" t="s">
        <v>231</v>
      </c>
      <c r="I79" s="91" t="s">
        <v>27</v>
      </c>
      <c r="J79" s="81">
        <v>46</v>
      </c>
      <c r="K79" s="81">
        <v>1499</v>
      </c>
      <c r="L79" s="87">
        <v>185.86</v>
      </c>
      <c r="M79" s="82"/>
      <c r="N79" s="83">
        <f t="shared" si="3"/>
        <v>743068.28</v>
      </c>
      <c r="O79" s="84">
        <v>42041</v>
      </c>
      <c r="P79" s="25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1:39" s="9" customFormat="1" ht="58.2" customHeight="1" x14ac:dyDescent="0.25">
      <c r="A80" s="77">
        <v>1060</v>
      </c>
      <c r="B80" s="78" t="s">
        <v>244</v>
      </c>
      <c r="C80" s="78">
        <v>2011</v>
      </c>
      <c r="D80" s="78" t="s">
        <v>29</v>
      </c>
      <c r="E80" s="90">
        <v>2015</v>
      </c>
      <c r="F80" s="78" t="s">
        <v>44</v>
      </c>
      <c r="G80" s="79">
        <v>3995</v>
      </c>
      <c r="H80" s="80" t="s">
        <v>245</v>
      </c>
      <c r="I80" s="91" t="s">
        <v>27</v>
      </c>
      <c r="J80" s="81">
        <v>47</v>
      </c>
      <c r="K80" s="81">
        <v>1500</v>
      </c>
      <c r="L80" s="87">
        <v>185.86</v>
      </c>
      <c r="M80" s="82"/>
      <c r="N80" s="83">
        <f t="shared" si="3"/>
        <v>742510.70000000007</v>
      </c>
      <c r="O80" s="84">
        <v>42041</v>
      </c>
      <c r="P80" s="25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1:39" s="9" customFormat="1" ht="60" customHeight="1" x14ac:dyDescent="0.25">
      <c r="A81" s="77">
        <v>1061</v>
      </c>
      <c r="B81" s="78" t="s">
        <v>246</v>
      </c>
      <c r="C81" s="78">
        <v>2008</v>
      </c>
      <c r="D81" s="78" t="s">
        <v>29</v>
      </c>
      <c r="E81" s="90">
        <v>2015</v>
      </c>
      <c r="F81" s="78" t="s">
        <v>44</v>
      </c>
      <c r="G81" s="79">
        <v>3995</v>
      </c>
      <c r="H81" s="80" t="s">
        <v>245</v>
      </c>
      <c r="I81" s="91" t="s">
        <v>27</v>
      </c>
      <c r="J81" s="81">
        <v>48</v>
      </c>
      <c r="K81" s="81">
        <v>1501</v>
      </c>
      <c r="L81" s="87">
        <v>185.86</v>
      </c>
      <c r="M81" s="82"/>
      <c r="N81" s="83">
        <f t="shared" si="3"/>
        <v>742510.70000000007</v>
      </c>
      <c r="O81" s="84">
        <v>42041</v>
      </c>
      <c r="P81" s="25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s="9" customFormat="1" ht="60" customHeight="1" x14ac:dyDescent="0.25">
      <c r="A82" s="77"/>
      <c r="B82" s="78" t="s">
        <v>122</v>
      </c>
      <c r="C82" s="78">
        <v>2010</v>
      </c>
      <c r="D82" s="78" t="s">
        <v>29</v>
      </c>
      <c r="E82" s="90" t="s">
        <v>181</v>
      </c>
      <c r="F82" s="78" t="s">
        <v>44</v>
      </c>
      <c r="G82" s="79">
        <v>3995</v>
      </c>
      <c r="H82" s="80" t="s">
        <v>245</v>
      </c>
      <c r="I82" s="91" t="s">
        <v>27</v>
      </c>
      <c r="J82" s="81">
        <v>49</v>
      </c>
      <c r="K82" s="81">
        <v>1502</v>
      </c>
      <c r="L82" s="87">
        <v>185.86</v>
      </c>
      <c r="M82" s="82"/>
      <c r="N82" s="83">
        <f t="shared" si="3"/>
        <v>742510.70000000007</v>
      </c>
      <c r="O82" s="84">
        <v>42041</v>
      </c>
      <c r="P82" s="25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s="24" customFormat="1" ht="60.6" customHeight="1" x14ac:dyDescent="0.25">
      <c r="A83" s="77"/>
      <c r="B83" s="78" t="s">
        <v>103</v>
      </c>
      <c r="C83" s="78">
        <v>2010</v>
      </c>
      <c r="D83" s="78" t="s">
        <v>29</v>
      </c>
      <c r="E83" s="90" t="s">
        <v>181</v>
      </c>
      <c r="F83" s="78" t="s">
        <v>44</v>
      </c>
      <c r="G83" s="79">
        <v>3992</v>
      </c>
      <c r="H83" s="80" t="s">
        <v>247</v>
      </c>
      <c r="I83" s="91" t="s">
        <v>27</v>
      </c>
      <c r="J83" s="81">
        <v>50</v>
      </c>
      <c r="K83" s="81">
        <v>1503</v>
      </c>
      <c r="L83" s="87">
        <v>185.86</v>
      </c>
      <c r="M83" s="82"/>
      <c r="N83" s="83">
        <f t="shared" si="3"/>
        <v>741953.12000000011</v>
      </c>
      <c r="O83" s="84">
        <v>42041</v>
      </c>
      <c r="P83" s="25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s="9" customFormat="1" ht="61.95" customHeight="1" x14ac:dyDescent="0.25">
      <c r="A84" s="77">
        <v>1062</v>
      </c>
      <c r="B84" s="78" t="s">
        <v>248</v>
      </c>
      <c r="C84" s="78">
        <v>2011</v>
      </c>
      <c r="D84" s="78" t="s">
        <v>29</v>
      </c>
      <c r="E84" s="90">
        <v>2015</v>
      </c>
      <c r="F84" s="78" t="s">
        <v>44</v>
      </c>
      <c r="G84" s="79">
        <v>3992</v>
      </c>
      <c r="H84" s="80" t="s">
        <v>247</v>
      </c>
      <c r="I84" s="91" t="s">
        <v>27</v>
      </c>
      <c r="J84" s="81">
        <v>51</v>
      </c>
      <c r="K84" s="81">
        <v>1504</v>
      </c>
      <c r="L84" s="87">
        <v>185.86</v>
      </c>
      <c r="M84" s="82"/>
      <c r="N84" s="83">
        <f t="shared" si="3"/>
        <v>741953.12000000011</v>
      </c>
      <c r="O84" s="84">
        <v>42041</v>
      </c>
      <c r="P84" s="25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 s="9" customFormat="1" ht="85.95" customHeight="1" x14ac:dyDescent="0.25">
      <c r="A85" s="77">
        <v>1063</v>
      </c>
      <c r="B85" s="78" t="s">
        <v>250</v>
      </c>
      <c r="C85" s="78">
        <v>2004</v>
      </c>
      <c r="D85" s="78" t="s">
        <v>251</v>
      </c>
      <c r="E85" s="90">
        <v>2015</v>
      </c>
      <c r="F85" s="90" t="s">
        <v>252</v>
      </c>
      <c r="G85" s="79">
        <f t="shared" ref="G85:G97" si="4">N85/L85</f>
        <v>5692.2661767089976</v>
      </c>
      <c r="H85" s="80" t="s">
        <v>1019</v>
      </c>
      <c r="I85" s="91" t="s">
        <v>132</v>
      </c>
      <c r="J85" s="81">
        <v>52</v>
      </c>
      <c r="K85" s="81">
        <v>1505</v>
      </c>
      <c r="L85" s="87">
        <v>185.05</v>
      </c>
      <c r="M85" s="82">
        <v>2.9824000000000002</v>
      </c>
      <c r="N85" s="83">
        <f>353190*M85</f>
        <v>1053353.8560000001</v>
      </c>
      <c r="O85" s="84">
        <v>42045</v>
      </c>
      <c r="P85" s="2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</row>
    <row r="86" spans="1:39" s="27" customFormat="1" ht="77.400000000000006" customHeight="1" x14ac:dyDescent="0.25">
      <c r="A86" s="77"/>
      <c r="B86" s="78" t="s">
        <v>109</v>
      </c>
      <c r="C86" s="78">
        <v>2008</v>
      </c>
      <c r="D86" s="92" t="s">
        <v>20</v>
      </c>
      <c r="E86" s="90" t="s">
        <v>197</v>
      </c>
      <c r="F86" s="90" t="s">
        <v>253</v>
      </c>
      <c r="G86" s="79">
        <f>N86/L86</f>
        <v>8.8734504188057279</v>
      </c>
      <c r="H86" s="80" t="s">
        <v>1103</v>
      </c>
      <c r="I86" s="91" t="s">
        <v>132</v>
      </c>
      <c r="J86" s="81"/>
      <c r="K86" s="81"/>
      <c r="L86" s="87">
        <v>185.05</v>
      </c>
      <c r="M86" s="82">
        <v>2.9321999999999999</v>
      </c>
      <c r="N86" s="83">
        <f>560*M86</f>
        <v>1642.0319999999999</v>
      </c>
      <c r="O86" s="84">
        <v>42046</v>
      </c>
      <c r="P86" s="25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</row>
    <row r="87" spans="1:39" s="9" customFormat="1" ht="42" customHeight="1" x14ac:dyDescent="0.25">
      <c r="A87" s="77">
        <v>1064</v>
      </c>
      <c r="B87" s="78" t="s">
        <v>254</v>
      </c>
      <c r="C87" s="78">
        <v>2006</v>
      </c>
      <c r="D87" s="78" t="s">
        <v>29</v>
      </c>
      <c r="E87" s="90">
        <v>2015</v>
      </c>
      <c r="F87" s="78" t="s">
        <v>123</v>
      </c>
      <c r="G87" s="79">
        <f t="shared" si="4"/>
        <v>3279.2164279924341</v>
      </c>
      <c r="H87" s="80" t="s">
        <v>255</v>
      </c>
      <c r="I87" s="91" t="s">
        <v>27</v>
      </c>
      <c r="J87" s="81">
        <v>53</v>
      </c>
      <c r="K87" s="81">
        <v>1506</v>
      </c>
      <c r="L87" s="87">
        <v>185.05</v>
      </c>
      <c r="M87" s="82">
        <v>30.19</v>
      </c>
      <c r="N87" s="83">
        <f t="shared" ref="N87:N93" si="5">20100*M87</f>
        <v>606819</v>
      </c>
      <c r="O87" s="84">
        <v>42047</v>
      </c>
      <c r="P87" s="25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s="9" customFormat="1" ht="42.6" customHeight="1" x14ac:dyDescent="0.25">
      <c r="A88" s="77">
        <v>1065</v>
      </c>
      <c r="B88" s="78" t="s">
        <v>256</v>
      </c>
      <c r="C88" s="78">
        <v>2010</v>
      </c>
      <c r="D88" s="78" t="s">
        <v>29</v>
      </c>
      <c r="E88" s="90">
        <v>2015</v>
      </c>
      <c r="F88" s="78" t="s">
        <v>123</v>
      </c>
      <c r="G88" s="79">
        <f t="shared" si="4"/>
        <v>3279.2164279924341</v>
      </c>
      <c r="H88" s="80" t="s">
        <v>255</v>
      </c>
      <c r="I88" s="91" t="s">
        <v>27</v>
      </c>
      <c r="J88" s="81">
        <v>54</v>
      </c>
      <c r="K88" s="81">
        <v>1507</v>
      </c>
      <c r="L88" s="87">
        <v>185.05</v>
      </c>
      <c r="M88" s="82">
        <v>30.19</v>
      </c>
      <c r="N88" s="83">
        <f t="shared" si="5"/>
        <v>606819</v>
      </c>
      <c r="O88" s="84">
        <v>42047</v>
      </c>
      <c r="P88" s="25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s="9" customFormat="1" ht="43.2" customHeight="1" x14ac:dyDescent="0.25">
      <c r="A89" s="77">
        <v>1066</v>
      </c>
      <c r="B89" s="78" t="s">
        <v>257</v>
      </c>
      <c r="C89" s="78">
        <v>2010</v>
      </c>
      <c r="D89" s="78" t="s">
        <v>29</v>
      </c>
      <c r="E89" s="90">
        <v>2015</v>
      </c>
      <c r="F89" s="78" t="s">
        <v>123</v>
      </c>
      <c r="G89" s="79">
        <f t="shared" si="4"/>
        <v>3279.2164279924341</v>
      </c>
      <c r="H89" s="80" t="s">
        <v>255</v>
      </c>
      <c r="I89" s="91" t="s">
        <v>27</v>
      </c>
      <c r="J89" s="81">
        <v>55</v>
      </c>
      <c r="K89" s="81">
        <v>1508</v>
      </c>
      <c r="L89" s="87">
        <v>185.05</v>
      </c>
      <c r="M89" s="82">
        <v>30.19</v>
      </c>
      <c r="N89" s="83">
        <f t="shared" si="5"/>
        <v>606819</v>
      </c>
      <c r="O89" s="84">
        <v>42047</v>
      </c>
      <c r="P89" s="25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s="9" customFormat="1" ht="40.200000000000003" customHeight="1" x14ac:dyDescent="0.25">
      <c r="A90" s="77">
        <v>1067</v>
      </c>
      <c r="B90" s="78" t="s">
        <v>258</v>
      </c>
      <c r="C90" s="78">
        <v>2008</v>
      </c>
      <c r="D90" s="78" t="s">
        <v>29</v>
      </c>
      <c r="E90" s="90">
        <v>2015</v>
      </c>
      <c r="F90" s="78" t="s">
        <v>123</v>
      </c>
      <c r="G90" s="79">
        <f t="shared" si="4"/>
        <v>3279.2164279924341</v>
      </c>
      <c r="H90" s="80" t="s">
        <v>255</v>
      </c>
      <c r="I90" s="91" t="s">
        <v>27</v>
      </c>
      <c r="J90" s="81">
        <v>56</v>
      </c>
      <c r="K90" s="81">
        <v>1509</v>
      </c>
      <c r="L90" s="87">
        <v>185.05</v>
      </c>
      <c r="M90" s="82">
        <v>30.19</v>
      </c>
      <c r="N90" s="83">
        <f t="shared" si="5"/>
        <v>606819</v>
      </c>
      <c r="O90" s="84">
        <v>42047</v>
      </c>
      <c r="P90" s="25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</row>
    <row r="91" spans="1:39" s="9" customFormat="1" ht="40.950000000000003" customHeight="1" x14ac:dyDescent="0.25">
      <c r="A91" s="77">
        <v>1068</v>
      </c>
      <c r="B91" s="78" t="s">
        <v>259</v>
      </c>
      <c r="C91" s="78">
        <v>2010</v>
      </c>
      <c r="D91" s="78" t="s">
        <v>29</v>
      </c>
      <c r="E91" s="90">
        <v>2015</v>
      </c>
      <c r="F91" s="78" t="s">
        <v>123</v>
      </c>
      <c r="G91" s="79">
        <f t="shared" si="4"/>
        <v>3279.2164279924341</v>
      </c>
      <c r="H91" s="80" t="s">
        <v>255</v>
      </c>
      <c r="I91" s="91" t="s">
        <v>27</v>
      </c>
      <c r="J91" s="81">
        <v>57</v>
      </c>
      <c r="K91" s="81">
        <v>1510</v>
      </c>
      <c r="L91" s="87">
        <v>185.05</v>
      </c>
      <c r="M91" s="82">
        <v>30.19</v>
      </c>
      <c r="N91" s="83">
        <f t="shared" si="5"/>
        <v>606819</v>
      </c>
      <c r="O91" s="84">
        <v>42047</v>
      </c>
      <c r="P91" s="25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1:39" s="9" customFormat="1" ht="39.6" customHeight="1" x14ac:dyDescent="0.25">
      <c r="A92" s="77">
        <v>1069</v>
      </c>
      <c r="B92" s="78" t="s">
        <v>260</v>
      </c>
      <c r="C92" s="78">
        <v>2011</v>
      </c>
      <c r="D92" s="78" t="s">
        <v>29</v>
      </c>
      <c r="E92" s="90">
        <v>2015</v>
      </c>
      <c r="F92" s="78" t="s">
        <v>123</v>
      </c>
      <c r="G92" s="79">
        <f t="shared" si="4"/>
        <v>3279.2164279924341</v>
      </c>
      <c r="H92" s="80" t="s">
        <v>255</v>
      </c>
      <c r="I92" s="91" t="s">
        <v>27</v>
      </c>
      <c r="J92" s="81">
        <v>58</v>
      </c>
      <c r="K92" s="81">
        <v>1511</v>
      </c>
      <c r="L92" s="87">
        <v>185.05</v>
      </c>
      <c r="M92" s="82">
        <v>30.19</v>
      </c>
      <c r="N92" s="83">
        <f t="shared" si="5"/>
        <v>606819</v>
      </c>
      <c r="O92" s="84">
        <v>42047</v>
      </c>
      <c r="P92" s="25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s="9" customFormat="1" ht="42" customHeight="1" x14ac:dyDescent="0.25">
      <c r="A93" s="77">
        <v>1070</v>
      </c>
      <c r="B93" s="78" t="s">
        <v>261</v>
      </c>
      <c r="C93" s="78">
        <v>2012</v>
      </c>
      <c r="D93" s="78" t="s">
        <v>29</v>
      </c>
      <c r="E93" s="90">
        <v>2015</v>
      </c>
      <c r="F93" s="78" t="s">
        <v>123</v>
      </c>
      <c r="G93" s="79">
        <f t="shared" si="4"/>
        <v>3279.2164279924341</v>
      </c>
      <c r="H93" s="80" t="s">
        <v>255</v>
      </c>
      <c r="I93" s="91" t="s">
        <v>27</v>
      </c>
      <c r="J93" s="81">
        <v>59</v>
      </c>
      <c r="K93" s="81">
        <v>1512</v>
      </c>
      <c r="L93" s="87">
        <v>185.05</v>
      </c>
      <c r="M93" s="82">
        <v>30.19</v>
      </c>
      <c r="N93" s="83">
        <f t="shared" si="5"/>
        <v>606819</v>
      </c>
      <c r="O93" s="84">
        <v>42047</v>
      </c>
      <c r="P93" s="25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</row>
    <row r="94" spans="1:39" s="9" customFormat="1" ht="40.200000000000003" customHeight="1" x14ac:dyDescent="0.25">
      <c r="A94" s="77">
        <v>1071</v>
      </c>
      <c r="B94" s="78" t="s">
        <v>262</v>
      </c>
      <c r="C94" s="78">
        <v>2005</v>
      </c>
      <c r="D94" s="78" t="s">
        <v>29</v>
      </c>
      <c r="E94" s="90">
        <v>2015</v>
      </c>
      <c r="F94" s="78" t="s">
        <v>123</v>
      </c>
      <c r="G94" s="79">
        <f t="shared" si="4"/>
        <v>267.10115104025942</v>
      </c>
      <c r="H94" s="80" t="s">
        <v>1040</v>
      </c>
      <c r="I94" s="91" t="s">
        <v>27</v>
      </c>
      <c r="J94" s="81">
        <v>60</v>
      </c>
      <c r="K94" s="81">
        <v>1513</v>
      </c>
      <c r="L94" s="87">
        <v>185.05</v>
      </c>
      <c r="M94" s="82">
        <v>30.19</v>
      </c>
      <c r="N94" s="83">
        <f>1637.2*M94</f>
        <v>49427.068000000007</v>
      </c>
      <c r="O94" s="84">
        <v>42047</v>
      </c>
      <c r="P94" s="25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</row>
    <row r="95" spans="1:39" s="9" customFormat="1" ht="39" customHeight="1" x14ac:dyDescent="0.25">
      <c r="A95" s="77">
        <v>1072</v>
      </c>
      <c r="B95" s="78" t="s">
        <v>263</v>
      </c>
      <c r="C95" s="78">
        <v>2005</v>
      </c>
      <c r="D95" s="78" t="s">
        <v>29</v>
      </c>
      <c r="E95" s="90">
        <v>2015</v>
      </c>
      <c r="F95" s="78" t="s">
        <v>123</v>
      </c>
      <c r="G95" s="79">
        <f t="shared" si="4"/>
        <v>267.10115104025942</v>
      </c>
      <c r="H95" s="80" t="s">
        <v>1040</v>
      </c>
      <c r="I95" s="91" t="s">
        <v>27</v>
      </c>
      <c r="J95" s="81">
        <v>61</v>
      </c>
      <c r="K95" s="81">
        <v>1514</v>
      </c>
      <c r="L95" s="87">
        <v>185.05</v>
      </c>
      <c r="M95" s="82">
        <v>30.19</v>
      </c>
      <c r="N95" s="83">
        <f>1637.2*M95</f>
        <v>49427.068000000007</v>
      </c>
      <c r="O95" s="84">
        <v>42047</v>
      </c>
      <c r="P95" s="25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</row>
    <row r="96" spans="1:39" s="24" customFormat="1" ht="43.95" customHeight="1" x14ac:dyDescent="0.25">
      <c r="A96" s="77"/>
      <c r="B96" s="78" t="s">
        <v>1125</v>
      </c>
      <c r="C96" s="78">
        <v>2004</v>
      </c>
      <c r="D96" s="78" t="s">
        <v>29</v>
      </c>
      <c r="E96" s="90" t="s">
        <v>181</v>
      </c>
      <c r="F96" s="90" t="s">
        <v>76</v>
      </c>
      <c r="G96" s="79">
        <v>6277.92</v>
      </c>
      <c r="H96" s="80" t="s">
        <v>1126</v>
      </c>
      <c r="I96" s="91" t="s">
        <v>27</v>
      </c>
      <c r="J96" s="81">
        <v>62</v>
      </c>
      <c r="K96" s="81">
        <v>1515</v>
      </c>
      <c r="L96" s="87">
        <v>185.05</v>
      </c>
      <c r="M96" s="82"/>
      <c r="N96" s="83">
        <f>G96*L96</f>
        <v>1161729.0960000001</v>
      </c>
      <c r="O96" s="84">
        <v>42048</v>
      </c>
      <c r="P96" s="25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</row>
    <row r="97" spans="1:39" s="27" customFormat="1" ht="64.95" customHeight="1" x14ac:dyDescent="0.25">
      <c r="A97" s="77">
        <v>1073</v>
      </c>
      <c r="B97" s="78" t="s">
        <v>264</v>
      </c>
      <c r="C97" s="78">
        <v>2011</v>
      </c>
      <c r="D97" s="78" t="s">
        <v>267</v>
      </c>
      <c r="E97" s="90">
        <v>2015</v>
      </c>
      <c r="F97" s="90" t="s">
        <v>265</v>
      </c>
      <c r="G97" s="79">
        <f t="shared" si="4"/>
        <v>4636.7481761686031</v>
      </c>
      <c r="H97" s="80" t="s">
        <v>266</v>
      </c>
      <c r="I97" s="91" t="s">
        <v>268</v>
      </c>
      <c r="J97" s="81">
        <v>63</v>
      </c>
      <c r="K97" s="81">
        <v>1516</v>
      </c>
      <c r="L97" s="87">
        <v>185.05</v>
      </c>
      <c r="M97" s="82">
        <v>2.915</v>
      </c>
      <c r="N97" s="83">
        <f>294350*M97</f>
        <v>858030.25</v>
      </c>
      <c r="O97" s="84">
        <v>42060</v>
      </c>
      <c r="P97" s="25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s="74" customFormat="1" ht="64.95" customHeight="1" x14ac:dyDescent="0.25">
      <c r="A98" s="77">
        <v>1074</v>
      </c>
      <c r="B98" s="78" t="s">
        <v>269</v>
      </c>
      <c r="C98" s="78">
        <v>2006</v>
      </c>
      <c r="D98" s="78" t="s">
        <v>270</v>
      </c>
      <c r="E98" s="90">
        <v>2015</v>
      </c>
      <c r="F98" s="90" t="s">
        <v>271</v>
      </c>
      <c r="G98" s="79">
        <v>22531</v>
      </c>
      <c r="H98" s="80" t="s">
        <v>1138</v>
      </c>
      <c r="I98" s="91" t="s">
        <v>132</v>
      </c>
      <c r="J98" s="81">
        <v>64</v>
      </c>
      <c r="K98" s="81">
        <v>1517</v>
      </c>
      <c r="L98" s="87">
        <v>185.05</v>
      </c>
      <c r="M98" s="82">
        <v>227.7</v>
      </c>
      <c r="N98" s="83">
        <v>4169305</v>
      </c>
      <c r="O98" s="84">
        <v>42051</v>
      </c>
      <c r="P98" s="25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1:39" s="26" customFormat="1" ht="36.6" customHeight="1" x14ac:dyDescent="0.25">
      <c r="A99" s="77"/>
      <c r="B99" s="78" t="s">
        <v>165</v>
      </c>
      <c r="C99" s="78">
        <v>2010</v>
      </c>
      <c r="D99" s="78" t="s">
        <v>29</v>
      </c>
      <c r="E99" s="90" t="s">
        <v>197</v>
      </c>
      <c r="F99" s="78" t="s">
        <v>105</v>
      </c>
      <c r="G99" s="79">
        <f>N99/L99</f>
        <v>2093.337449338017</v>
      </c>
      <c r="H99" s="80" t="s">
        <v>1076</v>
      </c>
      <c r="I99" s="91" t="s">
        <v>27</v>
      </c>
      <c r="J99" s="81"/>
      <c r="K99" s="81"/>
      <c r="L99" s="87">
        <v>185.05</v>
      </c>
      <c r="M99" s="82">
        <v>3.1027</v>
      </c>
      <c r="N99" s="83">
        <f>124850*M99</f>
        <v>387372.09500000003</v>
      </c>
      <c r="O99" s="84">
        <v>42052</v>
      </c>
      <c r="P99" s="25"/>
    </row>
    <row r="100" spans="1:39" s="26" customFormat="1" ht="40.950000000000003" customHeight="1" x14ac:dyDescent="0.25">
      <c r="A100" s="77">
        <v>1075</v>
      </c>
      <c r="B100" s="78" t="s">
        <v>272</v>
      </c>
      <c r="C100" s="78">
        <v>2011</v>
      </c>
      <c r="D100" s="78" t="s">
        <v>29</v>
      </c>
      <c r="E100" s="90">
        <v>2015</v>
      </c>
      <c r="F100" s="78" t="s">
        <v>105</v>
      </c>
      <c r="G100" s="79">
        <f>N100/L100</f>
        <v>1957.5262091326665</v>
      </c>
      <c r="H100" s="80" t="s">
        <v>273</v>
      </c>
      <c r="I100" s="91" t="s">
        <v>27</v>
      </c>
      <c r="J100" s="81">
        <v>65</v>
      </c>
      <c r="K100" s="81">
        <v>1518</v>
      </c>
      <c r="L100" s="87">
        <v>185.05</v>
      </c>
      <c r="M100" s="82">
        <v>3.1027</v>
      </c>
      <c r="N100" s="83">
        <f>116750*M100</f>
        <v>362240.22499999998</v>
      </c>
      <c r="O100" s="84">
        <v>42052</v>
      </c>
      <c r="P100" s="25"/>
    </row>
    <row r="101" spans="1:39" s="26" customFormat="1" ht="59.4" customHeight="1" x14ac:dyDescent="0.25">
      <c r="A101" s="77">
        <v>1076</v>
      </c>
      <c r="B101" s="78" t="s">
        <v>274</v>
      </c>
      <c r="C101" s="78">
        <v>2003</v>
      </c>
      <c r="D101" s="78" t="s">
        <v>29</v>
      </c>
      <c r="E101" s="90">
        <v>2015</v>
      </c>
      <c r="F101" s="78" t="s">
        <v>69</v>
      </c>
      <c r="G101" s="79">
        <v>3998</v>
      </c>
      <c r="H101" s="80" t="s">
        <v>231</v>
      </c>
      <c r="I101" s="91" t="s">
        <v>27</v>
      </c>
      <c r="J101" s="81">
        <v>66</v>
      </c>
      <c r="K101" s="81">
        <v>1519</v>
      </c>
      <c r="L101" s="87">
        <v>186.16</v>
      </c>
      <c r="M101" s="82"/>
      <c r="N101" s="83">
        <f>G101*L101</f>
        <v>744267.67999999993</v>
      </c>
      <c r="O101" s="84">
        <v>42053</v>
      </c>
      <c r="P101" s="25"/>
    </row>
    <row r="102" spans="1:39" s="26" customFormat="1" ht="60.6" customHeight="1" x14ac:dyDescent="0.25">
      <c r="A102" s="77">
        <v>1077</v>
      </c>
      <c r="B102" s="78" t="s">
        <v>275</v>
      </c>
      <c r="C102" s="78">
        <v>2007</v>
      </c>
      <c r="D102" s="78" t="s">
        <v>29</v>
      </c>
      <c r="E102" s="90">
        <v>2015</v>
      </c>
      <c r="F102" s="78" t="s">
        <v>101</v>
      </c>
      <c r="G102" s="79">
        <f>N102/L102</f>
        <v>3426.7619562280465</v>
      </c>
      <c r="H102" s="80" t="s">
        <v>1052</v>
      </c>
      <c r="I102" s="91" t="s">
        <v>27</v>
      </c>
      <c r="J102" s="81">
        <v>67</v>
      </c>
      <c r="K102" s="81">
        <v>1520</v>
      </c>
      <c r="L102" s="87">
        <v>185.05</v>
      </c>
      <c r="M102" s="82">
        <v>212.65</v>
      </c>
      <c r="N102" s="83">
        <f>2982*M102</f>
        <v>634122.30000000005</v>
      </c>
      <c r="O102" s="84">
        <v>42055</v>
      </c>
      <c r="P102" s="25"/>
    </row>
    <row r="103" spans="1:39" s="26" customFormat="1" ht="47.4" customHeight="1" x14ac:dyDescent="0.25">
      <c r="A103" s="77">
        <v>1078</v>
      </c>
      <c r="B103" s="78" t="s">
        <v>276</v>
      </c>
      <c r="C103" s="78">
        <v>2014</v>
      </c>
      <c r="D103" s="78" t="s">
        <v>59</v>
      </c>
      <c r="E103" s="90">
        <v>2015</v>
      </c>
      <c r="F103" s="78" t="s">
        <v>155</v>
      </c>
      <c r="G103" s="79">
        <f>N103/L103</f>
        <v>1404.4026743150498</v>
      </c>
      <c r="H103" s="80" t="s">
        <v>277</v>
      </c>
      <c r="I103" s="91" t="s">
        <v>132</v>
      </c>
      <c r="J103" s="81">
        <v>68</v>
      </c>
      <c r="K103" s="81">
        <v>1521</v>
      </c>
      <c r="L103" s="87">
        <v>185.05</v>
      </c>
      <c r="M103" s="82">
        <v>3.0926999999999998</v>
      </c>
      <c r="N103" s="83">
        <f>84031.66*M103</f>
        <v>259884.714882</v>
      </c>
      <c r="O103" s="84">
        <v>42059</v>
      </c>
      <c r="P103" s="25"/>
    </row>
    <row r="104" spans="1:39" s="26" customFormat="1" ht="44.4" customHeight="1" x14ac:dyDescent="0.25">
      <c r="A104" s="77">
        <v>1079</v>
      </c>
      <c r="B104" s="78" t="s">
        <v>278</v>
      </c>
      <c r="C104" s="78">
        <v>2014</v>
      </c>
      <c r="D104" s="78" t="s">
        <v>59</v>
      </c>
      <c r="E104" s="90">
        <v>2015</v>
      </c>
      <c r="F104" s="78" t="s">
        <v>155</v>
      </c>
      <c r="G104" s="79">
        <f>N104/L104</f>
        <v>1471.3039339746013</v>
      </c>
      <c r="H104" s="80" t="s">
        <v>279</v>
      </c>
      <c r="I104" s="91" t="s">
        <v>132</v>
      </c>
      <c r="J104" s="81">
        <v>69</v>
      </c>
      <c r="K104" s="81">
        <v>1522</v>
      </c>
      <c r="L104" s="87">
        <v>185.05</v>
      </c>
      <c r="M104" s="82">
        <v>3.0926999999999998</v>
      </c>
      <c r="N104" s="83">
        <f>88034.66*M104</f>
        <v>272264.79298199998</v>
      </c>
      <c r="O104" s="84">
        <v>42059</v>
      </c>
      <c r="P104" s="25"/>
    </row>
    <row r="105" spans="1:39" s="26" customFormat="1" ht="36" customHeight="1" x14ac:dyDescent="0.25">
      <c r="A105" s="173">
        <v>1080</v>
      </c>
      <c r="B105" s="175" t="s">
        <v>280</v>
      </c>
      <c r="C105" s="175">
        <v>2003</v>
      </c>
      <c r="D105" s="175" t="s">
        <v>28</v>
      </c>
      <c r="E105" s="175">
        <v>2015</v>
      </c>
      <c r="F105" s="175" t="s">
        <v>102</v>
      </c>
      <c r="G105" s="79">
        <v>9000</v>
      </c>
      <c r="H105" s="80" t="s">
        <v>47</v>
      </c>
      <c r="I105" s="161" t="s">
        <v>132</v>
      </c>
      <c r="J105" s="157">
        <v>70</v>
      </c>
      <c r="K105" s="157">
        <v>1523</v>
      </c>
      <c r="L105" s="87">
        <v>183.78</v>
      </c>
      <c r="M105" s="82"/>
      <c r="N105" s="83">
        <f t="shared" ref="N105:N113" si="6">G105*L105</f>
        <v>1654020</v>
      </c>
      <c r="O105" s="84">
        <v>42059</v>
      </c>
      <c r="P105" s="25"/>
    </row>
    <row r="106" spans="1:39" s="26" customFormat="1" ht="41.4" customHeight="1" x14ac:dyDescent="0.25">
      <c r="A106" s="174"/>
      <c r="B106" s="176"/>
      <c r="C106" s="176"/>
      <c r="D106" s="176"/>
      <c r="E106" s="176"/>
      <c r="F106" s="176"/>
      <c r="G106" s="79">
        <v>1300</v>
      </c>
      <c r="H106" s="80" t="s">
        <v>74</v>
      </c>
      <c r="I106" s="162"/>
      <c r="J106" s="158"/>
      <c r="K106" s="158"/>
      <c r="L106" s="87">
        <v>183.78</v>
      </c>
      <c r="M106" s="82"/>
      <c r="N106" s="83">
        <f t="shared" si="6"/>
        <v>238914</v>
      </c>
      <c r="O106" s="84">
        <v>42060</v>
      </c>
      <c r="P106" s="25"/>
    </row>
    <row r="107" spans="1:39" s="26" customFormat="1" ht="34.950000000000003" customHeight="1" x14ac:dyDescent="0.25">
      <c r="A107" s="173">
        <v>1081</v>
      </c>
      <c r="B107" s="175" t="s">
        <v>281</v>
      </c>
      <c r="C107" s="175">
        <v>2009</v>
      </c>
      <c r="D107" s="175" t="s">
        <v>28</v>
      </c>
      <c r="E107" s="175">
        <v>2015</v>
      </c>
      <c r="F107" s="175" t="s">
        <v>102</v>
      </c>
      <c r="G107" s="79">
        <v>9000</v>
      </c>
      <c r="H107" s="80" t="s">
        <v>47</v>
      </c>
      <c r="I107" s="161" t="s">
        <v>132</v>
      </c>
      <c r="J107" s="157">
        <v>71</v>
      </c>
      <c r="K107" s="157">
        <v>1524</v>
      </c>
      <c r="L107" s="87">
        <v>183.78</v>
      </c>
      <c r="M107" s="82"/>
      <c r="N107" s="83">
        <f t="shared" si="6"/>
        <v>1654020</v>
      </c>
      <c r="O107" s="84">
        <v>42059</v>
      </c>
      <c r="P107" s="25"/>
    </row>
    <row r="108" spans="1:39" s="26" customFormat="1" ht="37.950000000000003" customHeight="1" x14ac:dyDescent="0.25">
      <c r="A108" s="174"/>
      <c r="B108" s="176"/>
      <c r="C108" s="176"/>
      <c r="D108" s="176"/>
      <c r="E108" s="176"/>
      <c r="F108" s="176"/>
      <c r="G108" s="79">
        <v>3800</v>
      </c>
      <c r="H108" s="80" t="s">
        <v>41</v>
      </c>
      <c r="I108" s="162"/>
      <c r="J108" s="158"/>
      <c r="K108" s="158"/>
      <c r="L108" s="87">
        <v>183.78</v>
      </c>
      <c r="M108" s="82"/>
      <c r="N108" s="83">
        <f t="shared" si="6"/>
        <v>698364</v>
      </c>
      <c r="O108" s="84">
        <v>42060</v>
      </c>
      <c r="P108" s="25"/>
    </row>
    <row r="109" spans="1:39" s="26" customFormat="1" ht="37.950000000000003" customHeight="1" x14ac:dyDescent="0.25">
      <c r="A109" s="173">
        <v>1082</v>
      </c>
      <c r="B109" s="175" t="s">
        <v>282</v>
      </c>
      <c r="C109" s="175">
        <v>2008</v>
      </c>
      <c r="D109" s="175" t="s">
        <v>285</v>
      </c>
      <c r="E109" s="175">
        <v>2015</v>
      </c>
      <c r="F109" s="175" t="s">
        <v>102</v>
      </c>
      <c r="G109" s="79">
        <v>9000</v>
      </c>
      <c r="H109" s="80" t="s">
        <v>47</v>
      </c>
      <c r="I109" s="161" t="s">
        <v>132</v>
      </c>
      <c r="J109" s="157">
        <v>72</v>
      </c>
      <c r="K109" s="157">
        <v>1525</v>
      </c>
      <c r="L109" s="87">
        <v>183.78</v>
      </c>
      <c r="M109" s="82"/>
      <c r="N109" s="83">
        <f t="shared" si="6"/>
        <v>1654020</v>
      </c>
      <c r="O109" s="84">
        <v>42059</v>
      </c>
      <c r="P109" s="25"/>
    </row>
    <row r="110" spans="1:39" s="26" customFormat="1" ht="34.200000000000003" customHeight="1" x14ac:dyDescent="0.25">
      <c r="A110" s="174"/>
      <c r="B110" s="203"/>
      <c r="C110" s="203"/>
      <c r="D110" s="203"/>
      <c r="E110" s="203"/>
      <c r="F110" s="176"/>
      <c r="G110" s="79">
        <v>1800</v>
      </c>
      <c r="H110" s="80" t="s">
        <v>140</v>
      </c>
      <c r="I110" s="162"/>
      <c r="J110" s="158"/>
      <c r="K110" s="158"/>
      <c r="L110" s="87">
        <v>183.78</v>
      </c>
      <c r="M110" s="82"/>
      <c r="N110" s="83">
        <f t="shared" si="6"/>
        <v>330804</v>
      </c>
      <c r="O110" s="84">
        <v>42060</v>
      </c>
      <c r="P110" s="25"/>
    </row>
    <row r="111" spans="1:39" s="26" customFormat="1" ht="73.2" customHeight="1" x14ac:dyDescent="0.25">
      <c r="A111" s="173"/>
      <c r="B111" s="204" t="s">
        <v>157</v>
      </c>
      <c r="C111" s="173">
        <v>2007</v>
      </c>
      <c r="D111" s="175" t="s">
        <v>158</v>
      </c>
      <c r="E111" s="175" t="s">
        <v>195</v>
      </c>
      <c r="F111" s="205" t="s">
        <v>91</v>
      </c>
      <c r="G111" s="79">
        <v>9000</v>
      </c>
      <c r="H111" s="80" t="s">
        <v>47</v>
      </c>
      <c r="I111" s="161" t="s">
        <v>132</v>
      </c>
      <c r="J111" s="157">
        <v>73</v>
      </c>
      <c r="K111" s="157">
        <v>1526</v>
      </c>
      <c r="L111" s="87">
        <v>183.78</v>
      </c>
      <c r="M111" s="82"/>
      <c r="N111" s="83">
        <f t="shared" si="6"/>
        <v>1654020</v>
      </c>
      <c r="O111" s="84">
        <v>42065</v>
      </c>
      <c r="P111" s="25"/>
    </row>
    <row r="112" spans="1:39" s="26" customFormat="1" ht="37.950000000000003" customHeight="1" x14ac:dyDescent="0.25">
      <c r="A112" s="174"/>
      <c r="B112" s="203"/>
      <c r="C112" s="203"/>
      <c r="D112" s="203"/>
      <c r="E112" s="174"/>
      <c r="F112" s="206"/>
      <c r="G112" s="79">
        <v>3100</v>
      </c>
      <c r="H112" s="80" t="s">
        <v>1059</v>
      </c>
      <c r="I112" s="162"/>
      <c r="J112" s="158"/>
      <c r="K112" s="158"/>
      <c r="L112" s="87">
        <v>183.78</v>
      </c>
      <c r="M112" s="82"/>
      <c r="N112" s="83">
        <f t="shared" si="6"/>
        <v>569718</v>
      </c>
      <c r="O112" s="84">
        <v>42067</v>
      </c>
      <c r="P112" s="25"/>
    </row>
    <row r="113" spans="1:39" s="26" customFormat="1" ht="58.95" customHeight="1" x14ac:dyDescent="0.25">
      <c r="A113" s="93">
        <v>1083</v>
      </c>
      <c r="B113" s="94" t="s">
        <v>286</v>
      </c>
      <c r="C113" s="93">
        <v>2012</v>
      </c>
      <c r="D113" s="94" t="s">
        <v>70</v>
      </c>
      <c r="E113" s="93">
        <v>2015</v>
      </c>
      <c r="F113" s="78" t="s">
        <v>90</v>
      </c>
      <c r="G113" s="79">
        <v>1000</v>
      </c>
      <c r="H113" s="80" t="s">
        <v>287</v>
      </c>
      <c r="I113" s="91" t="s">
        <v>132</v>
      </c>
      <c r="J113" s="87">
        <v>74</v>
      </c>
      <c r="K113" s="87">
        <v>1527</v>
      </c>
      <c r="L113" s="87">
        <v>183.78</v>
      </c>
      <c r="M113" s="82"/>
      <c r="N113" s="83">
        <f t="shared" si="6"/>
        <v>183780</v>
      </c>
      <c r="O113" s="84">
        <v>42065</v>
      </c>
      <c r="P113" s="25"/>
    </row>
    <row r="114" spans="1:39" s="26" customFormat="1" ht="64.95" customHeight="1" x14ac:dyDescent="0.25">
      <c r="A114" s="173">
        <v>1084</v>
      </c>
      <c r="B114" s="204" t="s">
        <v>288</v>
      </c>
      <c r="C114" s="173">
        <v>2005</v>
      </c>
      <c r="D114" s="175" t="s">
        <v>289</v>
      </c>
      <c r="E114" s="175">
        <v>2015</v>
      </c>
      <c r="F114" s="205" t="s">
        <v>290</v>
      </c>
      <c r="G114" s="153">
        <v>3008</v>
      </c>
      <c r="H114" s="155" t="s">
        <v>1049</v>
      </c>
      <c r="I114" s="161" t="s">
        <v>132</v>
      </c>
      <c r="J114" s="157">
        <v>75</v>
      </c>
      <c r="K114" s="157">
        <v>1528</v>
      </c>
      <c r="L114" s="157">
        <v>183.78</v>
      </c>
      <c r="M114" s="145"/>
      <c r="N114" s="159">
        <f>G114*L114</f>
        <v>552810.23999999999</v>
      </c>
      <c r="O114" s="149">
        <v>42065</v>
      </c>
      <c r="P114" s="25"/>
    </row>
    <row r="115" spans="1:39" s="26" customFormat="1" ht="13.95" customHeight="1" x14ac:dyDescent="0.25">
      <c r="A115" s="179"/>
      <c r="B115" s="214"/>
      <c r="C115" s="214"/>
      <c r="D115" s="214"/>
      <c r="E115" s="214"/>
      <c r="F115" s="211"/>
      <c r="G115" s="166"/>
      <c r="H115" s="167"/>
      <c r="I115" s="172"/>
      <c r="J115" s="168"/>
      <c r="K115" s="168"/>
      <c r="L115" s="168"/>
      <c r="M115" s="169"/>
      <c r="N115" s="170"/>
      <c r="O115" s="171"/>
      <c r="P115" s="25"/>
    </row>
    <row r="116" spans="1:39" s="26" customFormat="1" ht="15.6" customHeight="1" x14ac:dyDescent="0.25">
      <c r="A116" s="174"/>
      <c r="B116" s="203"/>
      <c r="C116" s="203"/>
      <c r="D116" s="203"/>
      <c r="E116" s="203"/>
      <c r="F116" s="206"/>
      <c r="G116" s="154"/>
      <c r="H116" s="156"/>
      <c r="I116" s="162"/>
      <c r="J116" s="158"/>
      <c r="K116" s="158"/>
      <c r="L116" s="158"/>
      <c r="M116" s="146"/>
      <c r="N116" s="160"/>
      <c r="O116" s="150"/>
      <c r="P116" s="25"/>
    </row>
    <row r="117" spans="1:39" s="26" customFormat="1" ht="64.95" customHeight="1" x14ac:dyDescent="0.25">
      <c r="A117" s="93">
        <v>1085</v>
      </c>
      <c r="B117" s="93" t="s">
        <v>291</v>
      </c>
      <c r="C117" s="93">
        <v>2005</v>
      </c>
      <c r="D117" s="94" t="s">
        <v>29</v>
      </c>
      <c r="E117" s="93">
        <v>2015</v>
      </c>
      <c r="F117" s="78" t="s">
        <v>69</v>
      </c>
      <c r="G117" s="79">
        <v>3998</v>
      </c>
      <c r="H117" s="80" t="s">
        <v>231</v>
      </c>
      <c r="I117" s="91" t="s">
        <v>27</v>
      </c>
      <c r="J117" s="87">
        <v>76</v>
      </c>
      <c r="K117" s="87">
        <v>1529</v>
      </c>
      <c r="L117" s="87">
        <v>186.15</v>
      </c>
      <c r="M117" s="82"/>
      <c r="N117" s="83">
        <f>G117*L117</f>
        <v>744227.70000000007</v>
      </c>
      <c r="O117" s="84">
        <v>42067</v>
      </c>
      <c r="P117" s="25"/>
    </row>
    <row r="118" spans="1:39" s="26" customFormat="1" ht="51.6" customHeight="1" x14ac:dyDescent="0.25">
      <c r="A118" s="173">
        <v>1086</v>
      </c>
      <c r="B118" s="175" t="s">
        <v>292</v>
      </c>
      <c r="C118" s="173">
        <v>2007</v>
      </c>
      <c r="D118" s="175" t="s">
        <v>293</v>
      </c>
      <c r="E118" s="173">
        <v>2015</v>
      </c>
      <c r="F118" s="175" t="s">
        <v>135</v>
      </c>
      <c r="G118" s="79">
        <f t="shared" ref="G118:G127" si="7">N118/L118</f>
        <v>8466.630640367468</v>
      </c>
      <c r="H118" s="80" t="s">
        <v>294</v>
      </c>
      <c r="I118" s="161" t="s">
        <v>27</v>
      </c>
      <c r="J118" s="157">
        <v>77</v>
      </c>
      <c r="K118" s="157">
        <v>1530</v>
      </c>
      <c r="L118" s="87">
        <v>185.05</v>
      </c>
      <c r="M118" s="82">
        <v>3.1335000000000002</v>
      </c>
      <c r="N118" s="83">
        <f>500000*M118</f>
        <v>1566750</v>
      </c>
      <c r="O118" s="84">
        <v>42067</v>
      </c>
      <c r="P118" s="25"/>
    </row>
    <row r="119" spans="1:39" s="26" customFormat="1" ht="37.950000000000003" customHeight="1" x14ac:dyDescent="0.25">
      <c r="A119" s="174"/>
      <c r="B119" s="202"/>
      <c r="C119" s="203"/>
      <c r="D119" s="203"/>
      <c r="E119" s="203"/>
      <c r="F119" s="176"/>
      <c r="G119" s="79">
        <f t="shared" si="7"/>
        <v>5759.1280626857606</v>
      </c>
      <c r="H119" s="80" t="s">
        <v>295</v>
      </c>
      <c r="I119" s="162"/>
      <c r="J119" s="158"/>
      <c r="K119" s="158"/>
      <c r="L119" s="87">
        <v>185.05</v>
      </c>
      <c r="M119" s="82">
        <v>3.1332</v>
      </c>
      <c r="N119" s="83">
        <f>340140*M119</f>
        <v>1065726.648</v>
      </c>
      <c r="O119" s="84">
        <v>42068</v>
      </c>
      <c r="P119" s="25"/>
    </row>
    <row r="120" spans="1:39" s="26" customFormat="1" ht="46.2" customHeight="1" x14ac:dyDescent="0.25">
      <c r="A120" s="93">
        <v>1087</v>
      </c>
      <c r="B120" s="90" t="s">
        <v>296</v>
      </c>
      <c r="C120" s="93">
        <v>2012</v>
      </c>
      <c r="D120" s="94" t="s">
        <v>29</v>
      </c>
      <c r="E120" s="93">
        <v>2015</v>
      </c>
      <c r="F120" s="78" t="s">
        <v>92</v>
      </c>
      <c r="G120" s="79">
        <f t="shared" si="7"/>
        <v>2305.7882559395248</v>
      </c>
      <c r="H120" s="80" t="s">
        <v>297</v>
      </c>
      <c r="I120" s="91" t="s">
        <v>27</v>
      </c>
      <c r="J120" s="87">
        <v>78</v>
      </c>
      <c r="K120" s="87">
        <v>1531</v>
      </c>
      <c r="L120" s="87">
        <v>185.2</v>
      </c>
      <c r="M120" s="82">
        <v>3.2511000000000001</v>
      </c>
      <c r="N120" s="83">
        <f>131350*M120</f>
        <v>427031.98499999999</v>
      </c>
      <c r="O120" s="84">
        <v>42069</v>
      </c>
      <c r="P120" s="25"/>
    </row>
    <row r="121" spans="1:39" s="26" customFormat="1" ht="38.4" customHeight="1" x14ac:dyDescent="0.25">
      <c r="A121" s="93"/>
      <c r="B121" s="90" t="s">
        <v>39</v>
      </c>
      <c r="C121" s="93">
        <v>2009</v>
      </c>
      <c r="D121" s="94" t="s">
        <v>29</v>
      </c>
      <c r="E121" s="90" t="s">
        <v>298</v>
      </c>
      <c r="F121" s="90" t="s">
        <v>169</v>
      </c>
      <c r="G121" s="79">
        <f t="shared" si="7"/>
        <v>1781.7853671706266</v>
      </c>
      <c r="H121" s="80" t="s">
        <v>1066</v>
      </c>
      <c r="I121" s="91" t="s">
        <v>132</v>
      </c>
      <c r="J121" s="87">
        <v>79</v>
      </c>
      <c r="K121" s="87">
        <v>1532</v>
      </c>
      <c r="L121" s="87">
        <v>185.2</v>
      </c>
      <c r="M121" s="82">
        <v>3.2511000000000001</v>
      </c>
      <c r="N121" s="83">
        <f>101500*M121</f>
        <v>329986.65000000002</v>
      </c>
      <c r="O121" s="84">
        <v>42069</v>
      </c>
      <c r="P121" s="25"/>
    </row>
    <row r="122" spans="1:39" s="24" customFormat="1" ht="33" customHeight="1" x14ac:dyDescent="0.25">
      <c r="A122" s="93">
        <v>1088</v>
      </c>
      <c r="B122" s="90" t="s">
        <v>1115</v>
      </c>
      <c r="C122" s="93">
        <v>2011</v>
      </c>
      <c r="D122" s="143" t="s">
        <v>48</v>
      </c>
      <c r="E122" s="90">
        <v>2015</v>
      </c>
      <c r="F122" s="90" t="s">
        <v>91</v>
      </c>
      <c r="G122" s="79">
        <v>1800</v>
      </c>
      <c r="H122" s="80" t="s">
        <v>140</v>
      </c>
      <c r="I122" s="91" t="s">
        <v>132</v>
      </c>
      <c r="J122" s="87">
        <v>80</v>
      </c>
      <c r="K122" s="87">
        <v>1533</v>
      </c>
      <c r="L122" s="87">
        <v>185.2</v>
      </c>
      <c r="M122" s="82"/>
      <c r="N122" s="83">
        <f>G122*L122</f>
        <v>333360</v>
      </c>
      <c r="O122" s="84">
        <v>42073</v>
      </c>
      <c r="P122" s="25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1:39" s="26" customFormat="1" ht="46.2" customHeight="1" x14ac:dyDescent="0.25">
      <c r="A123" s="93">
        <v>1089</v>
      </c>
      <c r="B123" s="90" t="s">
        <v>302</v>
      </c>
      <c r="C123" s="93">
        <v>2014</v>
      </c>
      <c r="D123" s="78" t="s">
        <v>59</v>
      </c>
      <c r="E123" s="90">
        <v>2015</v>
      </c>
      <c r="F123" s="78" t="s">
        <v>155</v>
      </c>
      <c r="G123" s="79">
        <f t="shared" si="7"/>
        <v>903.31643844492453</v>
      </c>
      <c r="H123" s="80" t="s">
        <v>303</v>
      </c>
      <c r="I123" s="91" t="s">
        <v>132</v>
      </c>
      <c r="J123" s="87">
        <v>81</v>
      </c>
      <c r="K123" s="87">
        <v>1534</v>
      </c>
      <c r="L123" s="87">
        <v>185.2</v>
      </c>
      <c r="M123" s="82">
        <v>3.0922000000000001</v>
      </c>
      <c r="N123" s="83">
        <f>54102*M123</f>
        <v>167294.20440000002</v>
      </c>
      <c r="O123" s="84">
        <v>42074</v>
      </c>
      <c r="P123" s="25"/>
    </row>
    <row r="124" spans="1:39" s="71" customFormat="1" ht="78" customHeight="1" x14ac:dyDescent="0.25">
      <c r="A124" s="93"/>
      <c r="B124" s="90" t="s">
        <v>17</v>
      </c>
      <c r="C124" s="93">
        <v>2010</v>
      </c>
      <c r="D124" s="92" t="s">
        <v>18</v>
      </c>
      <c r="E124" s="90" t="s">
        <v>197</v>
      </c>
      <c r="F124" s="78" t="s">
        <v>106</v>
      </c>
      <c r="G124" s="79">
        <f t="shared" si="7"/>
        <v>381.6830021598272</v>
      </c>
      <c r="H124" s="80" t="s">
        <v>304</v>
      </c>
      <c r="I124" s="91" t="s">
        <v>132</v>
      </c>
      <c r="J124" s="87"/>
      <c r="K124" s="87"/>
      <c r="L124" s="87">
        <v>185.2</v>
      </c>
      <c r="M124" s="82">
        <v>3.0922000000000001</v>
      </c>
      <c r="N124" s="83">
        <f>22860*M124</f>
        <v>70687.691999999995</v>
      </c>
      <c r="O124" s="84">
        <v>42074</v>
      </c>
      <c r="P124" s="25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1:39" s="26" customFormat="1" ht="64.95" customHeight="1" x14ac:dyDescent="0.25">
      <c r="A125" s="93">
        <v>1090</v>
      </c>
      <c r="B125" s="90" t="s">
        <v>305</v>
      </c>
      <c r="C125" s="93">
        <v>2012</v>
      </c>
      <c r="D125" s="95" t="s">
        <v>306</v>
      </c>
      <c r="E125" s="90">
        <v>2015</v>
      </c>
      <c r="F125" s="90" t="s">
        <v>307</v>
      </c>
      <c r="G125" s="79">
        <f t="shared" si="7"/>
        <v>2107.3547558672785</v>
      </c>
      <c r="H125" s="80" t="s">
        <v>1028</v>
      </c>
      <c r="I125" s="91" t="s">
        <v>132</v>
      </c>
      <c r="J125" s="87">
        <v>82</v>
      </c>
      <c r="K125" s="87">
        <v>1535</v>
      </c>
      <c r="L125" s="87">
        <v>185.35</v>
      </c>
      <c r="M125" s="82">
        <v>3.2111000000000001</v>
      </c>
      <c r="N125" s="83">
        <f>121640*M125</f>
        <v>390598.20400000003</v>
      </c>
      <c r="O125" s="84">
        <v>42076</v>
      </c>
      <c r="P125" s="25"/>
    </row>
    <row r="126" spans="1:39" s="27" customFormat="1" ht="61.95" customHeight="1" x14ac:dyDescent="0.25">
      <c r="A126" s="93"/>
      <c r="B126" s="90" t="s">
        <v>308</v>
      </c>
      <c r="C126" s="93">
        <v>2014</v>
      </c>
      <c r="D126" s="78" t="s">
        <v>146</v>
      </c>
      <c r="E126" s="90" t="s">
        <v>195</v>
      </c>
      <c r="F126" s="138" t="s">
        <v>144</v>
      </c>
      <c r="G126" s="79">
        <f t="shared" si="7"/>
        <v>2304.0843955543569</v>
      </c>
      <c r="H126" s="80" t="s">
        <v>1091</v>
      </c>
      <c r="I126" s="91" t="s">
        <v>132</v>
      </c>
      <c r="J126" s="87">
        <v>83</v>
      </c>
      <c r="K126" s="87">
        <v>1536</v>
      </c>
      <c r="L126" s="87">
        <v>185.35</v>
      </c>
      <c r="M126" s="82">
        <v>3.2111000000000001</v>
      </c>
      <c r="N126" s="83">
        <f>132995.56*M126</f>
        <v>427062.042716</v>
      </c>
      <c r="O126" s="84">
        <v>42076</v>
      </c>
      <c r="P126" s="25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1:39" s="26" customFormat="1" ht="60.6" customHeight="1" x14ac:dyDescent="0.25">
      <c r="A127" s="93">
        <v>1091</v>
      </c>
      <c r="B127" s="90" t="s">
        <v>309</v>
      </c>
      <c r="C127" s="93">
        <v>2010</v>
      </c>
      <c r="D127" s="95" t="s">
        <v>317</v>
      </c>
      <c r="E127" s="90">
        <v>2015</v>
      </c>
      <c r="F127" s="138" t="s">
        <v>144</v>
      </c>
      <c r="G127" s="79">
        <f t="shared" si="7"/>
        <v>3388.7965742325332</v>
      </c>
      <c r="H127" s="80" t="s">
        <v>1020</v>
      </c>
      <c r="I127" s="91" t="s">
        <v>132</v>
      </c>
      <c r="J127" s="87">
        <v>84</v>
      </c>
      <c r="K127" s="87">
        <v>1537</v>
      </c>
      <c r="L127" s="87">
        <v>185.35</v>
      </c>
      <c r="M127" s="82">
        <v>3.2111000000000001</v>
      </c>
      <c r="N127" s="83">
        <f>195606.94*M127</f>
        <v>628113.44503399997</v>
      </c>
      <c r="O127" s="84">
        <v>42076</v>
      </c>
      <c r="P127" s="25"/>
    </row>
    <row r="128" spans="1:39" s="26" customFormat="1" ht="46.2" customHeight="1" x14ac:dyDescent="0.25">
      <c r="A128" s="93"/>
      <c r="B128" s="90" t="s">
        <v>281</v>
      </c>
      <c r="C128" s="93">
        <v>2009</v>
      </c>
      <c r="D128" s="78" t="s">
        <v>28</v>
      </c>
      <c r="E128" s="90" t="s">
        <v>197</v>
      </c>
      <c r="F128" s="78" t="s">
        <v>102</v>
      </c>
      <c r="G128" s="79">
        <v>9000</v>
      </c>
      <c r="H128" s="80" t="s">
        <v>47</v>
      </c>
      <c r="I128" s="91" t="s">
        <v>132</v>
      </c>
      <c r="J128" s="87"/>
      <c r="K128" s="87"/>
      <c r="L128" s="87">
        <v>186.45</v>
      </c>
      <c r="M128" s="82"/>
      <c r="N128" s="83">
        <f>G128*L128</f>
        <v>1678050</v>
      </c>
      <c r="O128" s="84">
        <v>42076</v>
      </c>
      <c r="P128" s="25"/>
    </row>
    <row r="129" spans="1:39" s="26" customFormat="1" ht="60.6" customHeight="1" x14ac:dyDescent="0.25">
      <c r="A129" s="93">
        <v>1092</v>
      </c>
      <c r="B129" s="90" t="s">
        <v>310</v>
      </c>
      <c r="C129" s="93">
        <v>2009</v>
      </c>
      <c r="D129" s="78" t="s">
        <v>29</v>
      </c>
      <c r="E129" s="90">
        <v>2015</v>
      </c>
      <c r="F129" s="78" t="s">
        <v>69</v>
      </c>
      <c r="G129" s="79">
        <v>4000</v>
      </c>
      <c r="H129" s="80" t="s">
        <v>95</v>
      </c>
      <c r="I129" s="91" t="s">
        <v>27</v>
      </c>
      <c r="J129" s="87">
        <v>85</v>
      </c>
      <c r="K129" s="87">
        <v>1538</v>
      </c>
      <c r="L129" s="87">
        <v>186.45</v>
      </c>
      <c r="M129" s="82"/>
      <c r="N129" s="83">
        <f>G129*L129</f>
        <v>745800</v>
      </c>
      <c r="O129" s="84">
        <v>42076</v>
      </c>
      <c r="P129" s="25"/>
    </row>
    <row r="130" spans="1:39" s="26" customFormat="1" ht="60.6" customHeight="1" x14ac:dyDescent="0.25">
      <c r="A130" s="93">
        <v>1093</v>
      </c>
      <c r="B130" s="90" t="s">
        <v>311</v>
      </c>
      <c r="C130" s="93">
        <v>2012</v>
      </c>
      <c r="D130" s="78" t="s">
        <v>29</v>
      </c>
      <c r="E130" s="90">
        <v>2015</v>
      </c>
      <c r="F130" s="78" t="s">
        <v>69</v>
      </c>
      <c r="G130" s="79">
        <v>3998</v>
      </c>
      <c r="H130" s="80" t="s">
        <v>231</v>
      </c>
      <c r="I130" s="91" t="s">
        <v>27</v>
      </c>
      <c r="J130" s="87">
        <v>86</v>
      </c>
      <c r="K130" s="87">
        <v>1539</v>
      </c>
      <c r="L130" s="87">
        <v>186.45</v>
      </c>
      <c r="M130" s="82"/>
      <c r="N130" s="83">
        <f>G130*L130</f>
        <v>745427.1</v>
      </c>
      <c r="O130" s="84">
        <v>42076</v>
      </c>
      <c r="P130" s="25"/>
    </row>
    <row r="131" spans="1:39" s="26" customFormat="1" ht="43.2" customHeight="1" x14ac:dyDescent="0.25">
      <c r="A131" s="93">
        <v>1094</v>
      </c>
      <c r="B131" s="90" t="s">
        <v>312</v>
      </c>
      <c r="C131" s="93">
        <v>2004</v>
      </c>
      <c r="D131" s="78" t="s">
        <v>29</v>
      </c>
      <c r="E131" s="90">
        <v>2015</v>
      </c>
      <c r="F131" s="90" t="s">
        <v>313</v>
      </c>
      <c r="G131" s="79">
        <f>N131/L131</f>
        <v>1286.3456973293769</v>
      </c>
      <c r="H131" s="80" t="s">
        <v>314</v>
      </c>
      <c r="I131" s="91" t="s">
        <v>27</v>
      </c>
      <c r="J131" s="87">
        <v>87</v>
      </c>
      <c r="K131" s="87">
        <v>1540</v>
      </c>
      <c r="L131" s="87">
        <v>185.35</v>
      </c>
      <c r="M131" s="82">
        <v>3.2111000000000001</v>
      </c>
      <c r="N131" s="83">
        <f>74250*M131</f>
        <v>238424.17500000002</v>
      </c>
      <c r="O131" s="84">
        <v>42076</v>
      </c>
      <c r="P131" s="25"/>
    </row>
    <row r="132" spans="1:39" s="26" customFormat="1" ht="73.2" customHeight="1" x14ac:dyDescent="0.25">
      <c r="A132" s="93">
        <v>1095</v>
      </c>
      <c r="B132" s="90" t="s">
        <v>315</v>
      </c>
      <c r="C132" s="93">
        <v>2013</v>
      </c>
      <c r="D132" s="95" t="s">
        <v>318</v>
      </c>
      <c r="E132" s="90">
        <v>2015</v>
      </c>
      <c r="F132" s="96" t="s">
        <v>316</v>
      </c>
      <c r="G132" s="79">
        <f>N132/L132</f>
        <v>2509.4771513353116</v>
      </c>
      <c r="H132" s="80" t="s">
        <v>175</v>
      </c>
      <c r="I132" s="91" t="s">
        <v>132</v>
      </c>
      <c r="J132" s="87">
        <v>88</v>
      </c>
      <c r="K132" s="87">
        <v>1541</v>
      </c>
      <c r="L132" s="87">
        <v>185.35</v>
      </c>
      <c r="M132" s="82">
        <v>3.1793</v>
      </c>
      <c r="N132" s="83">
        <f>146300*M132</f>
        <v>465131.59</v>
      </c>
      <c r="O132" s="84">
        <v>42081</v>
      </c>
      <c r="P132" s="25"/>
    </row>
    <row r="133" spans="1:39" s="26" customFormat="1" ht="36.6" customHeight="1" x14ac:dyDescent="0.25">
      <c r="A133" s="93">
        <v>1096</v>
      </c>
      <c r="B133" s="90" t="s">
        <v>319</v>
      </c>
      <c r="C133" s="93">
        <v>2011</v>
      </c>
      <c r="D133" s="78" t="s">
        <v>48</v>
      </c>
      <c r="E133" s="90">
        <v>2015</v>
      </c>
      <c r="F133" s="78" t="s">
        <v>320</v>
      </c>
      <c r="G133" s="79">
        <f>N133/L133</f>
        <v>11038.513331537839</v>
      </c>
      <c r="H133" s="80" t="s">
        <v>321</v>
      </c>
      <c r="I133" s="91" t="s">
        <v>132</v>
      </c>
      <c r="J133" s="87">
        <v>89</v>
      </c>
      <c r="K133" s="87">
        <v>1542</v>
      </c>
      <c r="L133" s="87">
        <v>185.65</v>
      </c>
      <c r="M133" s="82">
        <v>227.7</v>
      </c>
      <c r="N133" s="83">
        <f>9000*M133</f>
        <v>2049300</v>
      </c>
      <c r="O133" s="84">
        <v>42095</v>
      </c>
      <c r="P133" s="25"/>
    </row>
    <row r="134" spans="1:39" s="26" customFormat="1" ht="46.2" customHeight="1" x14ac:dyDescent="0.25">
      <c r="A134" s="93"/>
      <c r="B134" s="90" t="s">
        <v>281</v>
      </c>
      <c r="C134" s="93">
        <v>2009</v>
      </c>
      <c r="D134" s="78" t="s">
        <v>28</v>
      </c>
      <c r="E134" s="90" t="s">
        <v>197</v>
      </c>
      <c r="F134" s="78" t="s">
        <v>102</v>
      </c>
      <c r="G134" s="79">
        <v>2500</v>
      </c>
      <c r="H134" s="80" t="s">
        <v>100</v>
      </c>
      <c r="I134" s="91" t="s">
        <v>132</v>
      </c>
      <c r="J134" s="87"/>
      <c r="K134" s="87"/>
      <c r="L134" s="87">
        <v>183.78</v>
      </c>
      <c r="M134" s="82"/>
      <c r="N134" s="83">
        <f>G134*L134</f>
        <v>459450</v>
      </c>
      <c r="O134" s="84">
        <v>42095</v>
      </c>
      <c r="P134" s="25"/>
    </row>
    <row r="135" spans="1:39" s="71" customFormat="1" ht="72.599999999999994" customHeight="1" x14ac:dyDescent="0.25">
      <c r="A135" s="93">
        <v>1097</v>
      </c>
      <c r="B135" s="90" t="s">
        <v>322</v>
      </c>
      <c r="C135" s="93">
        <v>1997</v>
      </c>
      <c r="D135" s="95" t="s">
        <v>338</v>
      </c>
      <c r="E135" s="90">
        <v>2015</v>
      </c>
      <c r="F135" s="78" t="s">
        <v>290</v>
      </c>
      <c r="G135" s="79">
        <v>9000</v>
      </c>
      <c r="H135" s="80" t="s">
        <v>47</v>
      </c>
      <c r="I135" s="91" t="s">
        <v>531</v>
      </c>
      <c r="J135" s="87">
        <v>90</v>
      </c>
      <c r="K135" s="87">
        <v>1543</v>
      </c>
      <c r="L135" s="87">
        <v>183.78</v>
      </c>
      <c r="M135" s="82"/>
      <c r="N135" s="83">
        <f>G135*L135</f>
        <v>1654020</v>
      </c>
      <c r="O135" s="84">
        <v>42095</v>
      </c>
      <c r="P135" s="25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</row>
    <row r="136" spans="1:39" s="26" customFormat="1" ht="59.4" customHeight="1" x14ac:dyDescent="0.25">
      <c r="A136" s="93">
        <v>1098</v>
      </c>
      <c r="B136" s="90" t="s">
        <v>323</v>
      </c>
      <c r="C136" s="93">
        <v>2009</v>
      </c>
      <c r="D136" s="95" t="s">
        <v>29</v>
      </c>
      <c r="E136" s="90">
        <v>2015</v>
      </c>
      <c r="F136" s="78" t="s">
        <v>44</v>
      </c>
      <c r="G136" s="79">
        <v>3994</v>
      </c>
      <c r="H136" s="80" t="s">
        <v>153</v>
      </c>
      <c r="I136" s="91" t="s">
        <v>27</v>
      </c>
      <c r="J136" s="87">
        <v>91</v>
      </c>
      <c r="K136" s="87">
        <v>1544</v>
      </c>
      <c r="L136" s="87">
        <v>186.77</v>
      </c>
      <c r="M136" s="82"/>
      <c r="N136" s="83">
        <f>G136*L136</f>
        <v>745959.38</v>
      </c>
      <c r="O136" s="84">
        <v>42096</v>
      </c>
      <c r="P136" s="25"/>
    </row>
    <row r="137" spans="1:39" s="26" customFormat="1" ht="49.2" customHeight="1" x14ac:dyDescent="0.25">
      <c r="A137" s="93">
        <v>1099</v>
      </c>
      <c r="B137" s="90" t="s">
        <v>324</v>
      </c>
      <c r="C137" s="93">
        <v>2010</v>
      </c>
      <c r="D137" s="95" t="s">
        <v>29</v>
      </c>
      <c r="E137" s="90">
        <v>2015</v>
      </c>
      <c r="F137" s="90" t="s">
        <v>96</v>
      </c>
      <c r="G137" s="79">
        <f t="shared" ref="G137:G143" si="8">N137/L137</f>
        <v>2494.277834635066</v>
      </c>
      <c r="H137" s="80" t="s">
        <v>325</v>
      </c>
      <c r="I137" s="91" t="s">
        <v>27</v>
      </c>
      <c r="J137" s="87">
        <v>92</v>
      </c>
      <c r="K137" s="87">
        <v>1545</v>
      </c>
      <c r="L137" s="87">
        <v>185.65</v>
      </c>
      <c r="M137" s="82">
        <v>3.4123999999999999</v>
      </c>
      <c r="N137" s="83">
        <f>135700*M137</f>
        <v>463062.68</v>
      </c>
      <c r="O137" s="84">
        <v>42096</v>
      </c>
      <c r="P137" s="25"/>
    </row>
    <row r="138" spans="1:39" s="26" customFormat="1" ht="45.6" customHeight="1" x14ac:dyDescent="0.25">
      <c r="A138" s="93">
        <v>1100</v>
      </c>
      <c r="B138" s="90" t="s">
        <v>326</v>
      </c>
      <c r="C138" s="93">
        <v>2012</v>
      </c>
      <c r="D138" s="95" t="s">
        <v>29</v>
      </c>
      <c r="E138" s="90">
        <v>2015</v>
      </c>
      <c r="F138" s="90" t="s">
        <v>96</v>
      </c>
      <c r="G138" s="79">
        <f t="shared" si="8"/>
        <v>2543.906059789927</v>
      </c>
      <c r="H138" s="80" t="s">
        <v>327</v>
      </c>
      <c r="I138" s="91" t="s">
        <v>27</v>
      </c>
      <c r="J138" s="87">
        <v>93</v>
      </c>
      <c r="K138" s="87">
        <v>1546</v>
      </c>
      <c r="L138" s="87">
        <v>185.65</v>
      </c>
      <c r="M138" s="82">
        <v>3.4123999999999999</v>
      </c>
      <c r="N138" s="83">
        <f>138400*M138</f>
        <v>472276.16</v>
      </c>
      <c r="O138" s="84">
        <v>42096</v>
      </c>
      <c r="P138" s="25"/>
    </row>
    <row r="139" spans="1:39" s="26" customFormat="1" ht="45.6" customHeight="1" x14ac:dyDescent="0.25">
      <c r="A139" s="93">
        <v>1101</v>
      </c>
      <c r="B139" s="90" t="s">
        <v>328</v>
      </c>
      <c r="C139" s="93">
        <v>2011</v>
      </c>
      <c r="D139" s="95" t="s">
        <v>29</v>
      </c>
      <c r="E139" s="90">
        <v>2015</v>
      </c>
      <c r="F139" s="90" t="s">
        <v>329</v>
      </c>
      <c r="G139" s="79">
        <f t="shared" si="8"/>
        <v>2728.353999461352</v>
      </c>
      <c r="H139" s="80" t="s">
        <v>330</v>
      </c>
      <c r="I139" s="91" t="s">
        <v>27</v>
      </c>
      <c r="J139" s="87">
        <v>94</v>
      </c>
      <c r="K139" s="87">
        <v>1547</v>
      </c>
      <c r="L139" s="87">
        <v>185.65</v>
      </c>
      <c r="M139" s="82">
        <v>3.4317000000000002</v>
      </c>
      <c r="N139" s="83">
        <f>147600*M139</f>
        <v>506518.92000000004</v>
      </c>
      <c r="O139" s="84">
        <v>42097</v>
      </c>
      <c r="P139" s="25"/>
    </row>
    <row r="140" spans="1:39" s="26" customFormat="1" ht="46.2" customHeight="1" x14ac:dyDescent="0.25">
      <c r="A140" s="93">
        <v>1102</v>
      </c>
      <c r="B140" s="90" t="s">
        <v>331</v>
      </c>
      <c r="C140" s="93">
        <v>2012</v>
      </c>
      <c r="D140" s="95" t="s">
        <v>29</v>
      </c>
      <c r="E140" s="90">
        <v>2015</v>
      </c>
      <c r="F140" s="90" t="s">
        <v>332</v>
      </c>
      <c r="G140" s="79">
        <f t="shared" si="8"/>
        <v>2508.3850794505788</v>
      </c>
      <c r="H140" s="80" t="s">
        <v>325</v>
      </c>
      <c r="I140" s="91" t="s">
        <v>27</v>
      </c>
      <c r="J140" s="87">
        <v>95</v>
      </c>
      <c r="K140" s="87">
        <v>1548</v>
      </c>
      <c r="L140" s="87">
        <v>185.65</v>
      </c>
      <c r="M140" s="82">
        <v>3.4317000000000002</v>
      </c>
      <c r="N140" s="83">
        <f>135700*M140</f>
        <v>465681.69</v>
      </c>
      <c r="O140" s="84">
        <v>42097</v>
      </c>
      <c r="P140" s="25"/>
    </row>
    <row r="141" spans="1:39" s="26" customFormat="1" ht="37.950000000000003" customHeight="1" x14ac:dyDescent="0.25">
      <c r="A141" s="93">
        <v>1103</v>
      </c>
      <c r="B141" s="90" t="s">
        <v>333</v>
      </c>
      <c r="C141" s="93">
        <v>2009</v>
      </c>
      <c r="D141" s="95" t="s">
        <v>29</v>
      </c>
      <c r="E141" s="90">
        <v>2015</v>
      </c>
      <c r="F141" s="90" t="s">
        <v>334</v>
      </c>
      <c r="G141" s="79">
        <f t="shared" si="8"/>
        <v>2515.3168731483975</v>
      </c>
      <c r="H141" s="80" t="s">
        <v>1065</v>
      </c>
      <c r="I141" s="91" t="s">
        <v>27</v>
      </c>
      <c r="J141" s="87">
        <v>96</v>
      </c>
      <c r="K141" s="87">
        <v>1549</v>
      </c>
      <c r="L141" s="87">
        <v>185.65</v>
      </c>
      <c r="M141" s="82">
        <v>3.4317000000000002</v>
      </c>
      <c r="N141" s="83">
        <f>136075*M141</f>
        <v>466968.57750000001</v>
      </c>
      <c r="O141" s="84">
        <v>42097</v>
      </c>
      <c r="P141" s="25"/>
    </row>
    <row r="142" spans="1:39" s="26" customFormat="1" ht="49.2" customHeight="1" x14ac:dyDescent="0.25">
      <c r="A142" s="93"/>
      <c r="B142" s="90" t="s">
        <v>107</v>
      </c>
      <c r="C142" s="93">
        <v>2005</v>
      </c>
      <c r="D142" s="90" t="s">
        <v>68</v>
      </c>
      <c r="E142" s="90">
        <v>2015</v>
      </c>
      <c r="F142" s="78" t="s">
        <v>155</v>
      </c>
      <c r="G142" s="79">
        <f t="shared" si="8"/>
        <v>1405.0775401131161</v>
      </c>
      <c r="H142" s="80" t="s">
        <v>335</v>
      </c>
      <c r="I142" s="91" t="s">
        <v>132</v>
      </c>
      <c r="J142" s="87">
        <v>97</v>
      </c>
      <c r="K142" s="87">
        <v>1550</v>
      </c>
      <c r="L142" s="87">
        <v>185.65</v>
      </c>
      <c r="M142" s="82">
        <v>3.4317000000000002</v>
      </c>
      <c r="N142" s="83">
        <f>76012.66*M142</f>
        <v>260852.64532200003</v>
      </c>
      <c r="O142" s="84">
        <v>42097</v>
      </c>
      <c r="P142" s="25"/>
    </row>
    <row r="143" spans="1:39" s="26" customFormat="1" ht="50.4" customHeight="1" x14ac:dyDescent="0.25">
      <c r="A143" s="93">
        <v>1104</v>
      </c>
      <c r="B143" s="90" t="s">
        <v>336</v>
      </c>
      <c r="C143" s="93">
        <v>2011</v>
      </c>
      <c r="D143" s="95" t="s">
        <v>59</v>
      </c>
      <c r="E143" s="90">
        <v>2015</v>
      </c>
      <c r="F143" s="78" t="s">
        <v>155</v>
      </c>
      <c r="G143" s="79">
        <f t="shared" si="8"/>
        <v>1818.7115336493403</v>
      </c>
      <c r="H143" s="80" t="s">
        <v>337</v>
      </c>
      <c r="I143" s="91" t="s">
        <v>132</v>
      </c>
      <c r="J143" s="87">
        <v>98</v>
      </c>
      <c r="K143" s="87">
        <v>1551</v>
      </c>
      <c r="L143" s="87">
        <v>185.65</v>
      </c>
      <c r="M143" s="82">
        <v>3.4317000000000002</v>
      </c>
      <c r="N143" s="83">
        <f>98389.66*M143</f>
        <v>337643.79622200003</v>
      </c>
      <c r="O143" s="84">
        <v>42097</v>
      </c>
      <c r="P143" s="25"/>
    </row>
    <row r="144" spans="1:39" s="71" customFormat="1" ht="42" customHeight="1" x14ac:dyDescent="0.25">
      <c r="A144" s="173"/>
      <c r="B144" s="175" t="s">
        <v>322</v>
      </c>
      <c r="C144" s="173">
        <v>1997</v>
      </c>
      <c r="D144" s="191" t="s">
        <v>338</v>
      </c>
      <c r="E144" s="175" t="s">
        <v>197</v>
      </c>
      <c r="F144" s="175" t="s">
        <v>290</v>
      </c>
      <c r="G144" s="153">
        <v>8380</v>
      </c>
      <c r="H144" s="155" t="s">
        <v>83</v>
      </c>
      <c r="I144" s="161" t="s">
        <v>1048</v>
      </c>
      <c r="J144" s="157"/>
      <c r="K144" s="157"/>
      <c r="L144" s="157">
        <v>183.78</v>
      </c>
      <c r="M144" s="145"/>
      <c r="N144" s="159">
        <f>G144*L144</f>
        <v>1540076.4</v>
      </c>
      <c r="O144" s="149">
        <v>42097</v>
      </c>
      <c r="P144" s="25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58" s="71" customFormat="1" ht="33.6" customHeight="1" x14ac:dyDescent="0.25">
      <c r="A145" s="174"/>
      <c r="B145" s="176"/>
      <c r="C145" s="174"/>
      <c r="D145" s="192"/>
      <c r="E145" s="176"/>
      <c r="F145" s="176"/>
      <c r="G145" s="154"/>
      <c r="H145" s="156"/>
      <c r="I145" s="162"/>
      <c r="J145" s="158"/>
      <c r="K145" s="158"/>
      <c r="L145" s="158"/>
      <c r="M145" s="146"/>
      <c r="N145" s="160"/>
      <c r="O145" s="150"/>
      <c r="P145" s="25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58" s="24" customFormat="1" ht="45" customHeight="1" x14ac:dyDescent="0.25">
      <c r="A146" s="93"/>
      <c r="B146" s="90" t="s">
        <v>149</v>
      </c>
      <c r="C146" s="93">
        <v>2004</v>
      </c>
      <c r="D146" s="95" t="s">
        <v>29</v>
      </c>
      <c r="E146" s="90" t="s">
        <v>181</v>
      </c>
      <c r="F146" s="138" t="s">
        <v>105</v>
      </c>
      <c r="G146" s="86">
        <f>N146/L146</f>
        <v>2414.5119164218086</v>
      </c>
      <c r="H146" s="97" t="s">
        <v>325</v>
      </c>
      <c r="I146" s="91" t="s">
        <v>27</v>
      </c>
      <c r="J146" s="87">
        <v>99</v>
      </c>
      <c r="K146" s="87">
        <v>1552</v>
      </c>
      <c r="L146" s="87">
        <v>183.78</v>
      </c>
      <c r="M146" s="88">
        <v>3.27</v>
      </c>
      <c r="N146" s="89">
        <f>135700*M146</f>
        <v>443739</v>
      </c>
      <c r="O146" s="98">
        <v>42097</v>
      </c>
      <c r="P146" s="25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</row>
    <row r="147" spans="1:58" s="26" customFormat="1" ht="38.4" customHeight="1" x14ac:dyDescent="0.25">
      <c r="A147" s="93">
        <v>1105</v>
      </c>
      <c r="B147" s="90" t="s">
        <v>339</v>
      </c>
      <c r="C147" s="93">
        <v>2008</v>
      </c>
      <c r="D147" s="95" t="s">
        <v>29</v>
      </c>
      <c r="E147" s="90">
        <v>2015</v>
      </c>
      <c r="F147" s="78" t="s">
        <v>123</v>
      </c>
      <c r="G147" s="79">
        <f>N147/L147</f>
        <v>3306.512254241853</v>
      </c>
      <c r="H147" s="80" t="s">
        <v>255</v>
      </c>
      <c r="I147" s="91" t="s">
        <v>27</v>
      </c>
      <c r="J147" s="87">
        <v>100</v>
      </c>
      <c r="K147" s="87">
        <v>1553</v>
      </c>
      <c r="L147" s="87">
        <v>185.65</v>
      </c>
      <c r="M147" s="82">
        <v>30.54</v>
      </c>
      <c r="N147" s="83">
        <f>20100*M147</f>
        <v>613854</v>
      </c>
      <c r="O147" s="84">
        <v>42097</v>
      </c>
      <c r="P147" s="25"/>
    </row>
    <row r="148" spans="1:58" s="26" customFormat="1" ht="37.200000000000003" customHeight="1" x14ac:dyDescent="0.25">
      <c r="A148" s="173">
        <v>1106</v>
      </c>
      <c r="B148" s="175" t="s">
        <v>340</v>
      </c>
      <c r="C148" s="173">
        <v>2010</v>
      </c>
      <c r="D148" s="191" t="s">
        <v>341</v>
      </c>
      <c r="E148" s="175">
        <v>2015</v>
      </c>
      <c r="F148" s="205" t="s">
        <v>91</v>
      </c>
      <c r="G148" s="79">
        <v>9000</v>
      </c>
      <c r="H148" s="80" t="s">
        <v>47</v>
      </c>
      <c r="I148" s="161" t="s">
        <v>27</v>
      </c>
      <c r="J148" s="157">
        <v>101</v>
      </c>
      <c r="K148" s="157">
        <v>1554</v>
      </c>
      <c r="L148" s="87">
        <v>186.77</v>
      </c>
      <c r="M148" s="82"/>
      <c r="N148" s="83">
        <f>G148*L148</f>
        <v>1680930</v>
      </c>
      <c r="O148" s="84">
        <v>42097</v>
      </c>
      <c r="P148" s="25"/>
    </row>
    <row r="149" spans="1:58" s="26" customFormat="1" ht="40.200000000000003" customHeight="1" x14ac:dyDescent="0.25">
      <c r="A149" s="180"/>
      <c r="B149" s="178"/>
      <c r="C149" s="180"/>
      <c r="D149" s="215"/>
      <c r="E149" s="178"/>
      <c r="F149" s="216"/>
      <c r="G149" s="79">
        <v>8250</v>
      </c>
      <c r="H149" s="80" t="s">
        <v>1061</v>
      </c>
      <c r="I149" s="164"/>
      <c r="J149" s="151"/>
      <c r="K149" s="151"/>
      <c r="L149" s="87">
        <v>186.77</v>
      </c>
      <c r="M149" s="82"/>
      <c r="N149" s="83">
        <f>G149*L149</f>
        <v>1540852.5</v>
      </c>
      <c r="O149" s="84">
        <v>42100</v>
      </c>
      <c r="P149" s="25"/>
    </row>
    <row r="150" spans="1:58" s="26" customFormat="1" ht="35.4" customHeight="1" x14ac:dyDescent="0.25">
      <c r="A150" s="173"/>
      <c r="B150" s="175" t="s">
        <v>319</v>
      </c>
      <c r="C150" s="173">
        <v>2011</v>
      </c>
      <c r="D150" s="173" t="s">
        <v>48</v>
      </c>
      <c r="E150" s="175" t="s">
        <v>197</v>
      </c>
      <c r="F150" s="217" t="s">
        <v>320</v>
      </c>
      <c r="G150" s="79">
        <f t="shared" ref="G150:G157" si="9">N150/L150</f>
        <v>5136.085338001616</v>
      </c>
      <c r="H150" s="80" t="s">
        <v>342</v>
      </c>
      <c r="I150" s="161" t="s">
        <v>132</v>
      </c>
      <c r="J150" s="157"/>
      <c r="K150" s="157"/>
      <c r="L150" s="87">
        <v>185.65</v>
      </c>
      <c r="M150" s="82">
        <v>227.7</v>
      </c>
      <c r="N150" s="83">
        <f>4187.59*M150</f>
        <v>953514.24300000002</v>
      </c>
      <c r="O150" s="84">
        <v>42100</v>
      </c>
      <c r="P150" s="25"/>
    </row>
    <row r="151" spans="1:58" s="26" customFormat="1" ht="35.4" customHeight="1" x14ac:dyDescent="0.25">
      <c r="A151" s="174"/>
      <c r="B151" s="176"/>
      <c r="C151" s="174"/>
      <c r="D151" s="212"/>
      <c r="E151" s="176"/>
      <c r="F151" s="218"/>
      <c r="G151" s="79">
        <f t="shared" si="9"/>
        <v>2860.1939655265287</v>
      </c>
      <c r="H151" s="80" t="s">
        <v>997</v>
      </c>
      <c r="I151" s="162"/>
      <c r="J151" s="158"/>
      <c r="K151" s="158"/>
      <c r="L151" s="87">
        <v>185.65</v>
      </c>
      <c r="M151" s="82">
        <v>206.11</v>
      </c>
      <c r="N151" s="83">
        <f>2576.27*M151</f>
        <v>530995.00970000005</v>
      </c>
      <c r="O151" s="84">
        <v>42100</v>
      </c>
      <c r="P151" s="25"/>
    </row>
    <row r="152" spans="1:58" s="26" customFormat="1" ht="73.2" customHeight="1" x14ac:dyDescent="0.25">
      <c r="A152" s="93">
        <v>1107</v>
      </c>
      <c r="B152" s="90" t="s">
        <v>343</v>
      </c>
      <c r="C152" s="93">
        <v>2006</v>
      </c>
      <c r="D152" s="95" t="s">
        <v>29</v>
      </c>
      <c r="E152" s="90">
        <v>2015</v>
      </c>
      <c r="F152" s="90" t="s">
        <v>344</v>
      </c>
      <c r="G152" s="79">
        <f t="shared" si="9"/>
        <v>3157.4939402100727</v>
      </c>
      <c r="H152" s="80" t="s">
        <v>1050</v>
      </c>
      <c r="I152" s="91" t="s">
        <v>27</v>
      </c>
      <c r="J152" s="87">
        <v>102</v>
      </c>
      <c r="K152" s="87">
        <v>1555</v>
      </c>
      <c r="L152" s="87">
        <v>185.65</v>
      </c>
      <c r="M152" s="82">
        <v>203.75</v>
      </c>
      <c r="N152" s="83">
        <f>2877*M152</f>
        <v>586188.75</v>
      </c>
      <c r="O152" s="84">
        <v>42102</v>
      </c>
      <c r="P152" s="25"/>
    </row>
    <row r="153" spans="1:58" s="26" customFormat="1" ht="71.400000000000006" customHeight="1" x14ac:dyDescent="0.25">
      <c r="A153" s="93"/>
      <c r="B153" s="90" t="s">
        <v>168</v>
      </c>
      <c r="C153" s="93">
        <v>2005</v>
      </c>
      <c r="D153" s="95" t="s">
        <v>29</v>
      </c>
      <c r="E153" s="90" t="s">
        <v>181</v>
      </c>
      <c r="F153" s="90" t="s">
        <v>344</v>
      </c>
      <c r="G153" s="79">
        <f t="shared" si="9"/>
        <v>3272.7309453272287</v>
      </c>
      <c r="H153" s="80" t="s">
        <v>345</v>
      </c>
      <c r="I153" s="91" t="s">
        <v>27</v>
      </c>
      <c r="J153" s="87">
        <v>103</v>
      </c>
      <c r="K153" s="87">
        <v>1556</v>
      </c>
      <c r="L153" s="87">
        <v>185.65</v>
      </c>
      <c r="M153" s="82">
        <v>203.75</v>
      </c>
      <c r="N153" s="83">
        <f>2982*M153</f>
        <v>607582.5</v>
      </c>
      <c r="O153" s="84">
        <v>42102</v>
      </c>
      <c r="P153" s="25"/>
    </row>
    <row r="154" spans="1:58" s="26" customFormat="1" ht="69" customHeight="1" x14ac:dyDescent="0.25">
      <c r="A154" s="93">
        <v>1108</v>
      </c>
      <c r="B154" s="90" t="s">
        <v>346</v>
      </c>
      <c r="C154" s="93">
        <v>2004</v>
      </c>
      <c r="D154" s="95" t="s">
        <v>29</v>
      </c>
      <c r="E154" s="90">
        <v>2015</v>
      </c>
      <c r="F154" s="90" t="s">
        <v>344</v>
      </c>
      <c r="G154" s="79">
        <f t="shared" si="9"/>
        <v>3091.6442230002694</v>
      </c>
      <c r="H154" s="80" t="s">
        <v>641</v>
      </c>
      <c r="I154" s="91" t="s">
        <v>27</v>
      </c>
      <c r="J154" s="87">
        <v>104</v>
      </c>
      <c r="K154" s="87">
        <v>1557</v>
      </c>
      <c r="L154" s="87">
        <v>185.65</v>
      </c>
      <c r="M154" s="82">
        <v>203.75</v>
      </c>
      <c r="N154" s="83">
        <f>2817*M154</f>
        <v>573963.75</v>
      </c>
      <c r="O154" s="84">
        <v>42102</v>
      </c>
      <c r="P154" s="25"/>
    </row>
    <row r="155" spans="1:58" s="26" customFormat="1" ht="44.4" customHeight="1" x14ac:dyDescent="0.25">
      <c r="A155" s="93"/>
      <c r="B155" s="90" t="s">
        <v>45</v>
      </c>
      <c r="C155" s="93">
        <v>2006</v>
      </c>
      <c r="D155" s="95" t="s">
        <v>29</v>
      </c>
      <c r="E155" s="90" t="s">
        <v>181</v>
      </c>
      <c r="F155" s="90" t="s">
        <v>347</v>
      </c>
      <c r="G155" s="79">
        <f t="shared" si="9"/>
        <v>1821.8421761378938</v>
      </c>
      <c r="H155" s="80" t="s">
        <v>1045</v>
      </c>
      <c r="I155" s="91" t="s">
        <v>27</v>
      </c>
      <c r="J155" s="87">
        <v>105</v>
      </c>
      <c r="K155" s="87">
        <v>1558</v>
      </c>
      <c r="L155" s="87">
        <v>185.65</v>
      </c>
      <c r="M155" s="82">
        <v>203.75</v>
      </c>
      <c r="N155" s="83">
        <f>1660*M155</f>
        <v>338225</v>
      </c>
      <c r="O155" s="84">
        <v>42102</v>
      </c>
      <c r="P155" s="25"/>
    </row>
    <row r="156" spans="1:58" s="26" customFormat="1" ht="70.2" customHeight="1" x14ac:dyDescent="0.25">
      <c r="A156" s="93">
        <v>1109</v>
      </c>
      <c r="B156" s="90" t="s">
        <v>348</v>
      </c>
      <c r="C156" s="93">
        <v>2005</v>
      </c>
      <c r="D156" s="95" t="s">
        <v>29</v>
      </c>
      <c r="E156" s="90">
        <v>2015</v>
      </c>
      <c r="F156" s="90" t="s">
        <v>344</v>
      </c>
      <c r="G156" s="79">
        <f t="shared" si="9"/>
        <v>3272.5114462698625</v>
      </c>
      <c r="H156" s="80" t="s">
        <v>1051</v>
      </c>
      <c r="I156" s="91" t="s">
        <v>27</v>
      </c>
      <c r="J156" s="87">
        <v>106</v>
      </c>
      <c r="K156" s="87">
        <v>1559</v>
      </c>
      <c r="L156" s="87">
        <v>185.65</v>
      </c>
      <c r="M156" s="82">
        <v>203.75</v>
      </c>
      <c r="N156" s="83">
        <f>2981.8*M156</f>
        <v>607541.75</v>
      </c>
      <c r="O156" s="84">
        <v>42102</v>
      </c>
      <c r="P156" s="25"/>
    </row>
    <row r="157" spans="1:58" s="26" customFormat="1" ht="60.6" customHeight="1" x14ac:dyDescent="0.25">
      <c r="A157" s="93">
        <v>1110</v>
      </c>
      <c r="B157" s="90" t="s">
        <v>349</v>
      </c>
      <c r="C157" s="93">
        <v>2013</v>
      </c>
      <c r="D157" s="136" t="s">
        <v>59</v>
      </c>
      <c r="E157" s="90">
        <v>2015</v>
      </c>
      <c r="F157" s="90" t="s">
        <v>192</v>
      </c>
      <c r="G157" s="79">
        <f t="shared" si="9"/>
        <v>2483.7072502019932</v>
      </c>
      <c r="H157" s="80" t="s">
        <v>1081</v>
      </c>
      <c r="I157" s="91" t="s">
        <v>132</v>
      </c>
      <c r="J157" s="87">
        <v>107</v>
      </c>
      <c r="K157" s="87">
        <v>1560</v>
      </c>
      <c r="L157" s="87">
        <v>185.65</v>
      </c>
      <c r="M157" s="82">
        <v>3.7057000000000002</v>
      </c>
      <c r="N157" s="83">
        <f>124430*M157</f>
        <v>461100.25100000005</v>
      </c>
      <c r="O157" s="84">
        <v>42103</v>
      </c>
      <c r="P157" s="25"/>
    </row>
    <row r="158" spans="1:58" s="26" customFormat="1" ht="60.6" customHeight="1" x14ac:dyDescent="0.25">
      <c r="A158" s="93">
        <v>1111</v>
      </c>
      <c r="B158" s="90" t="s">
        <v>51</v>
      </c>
      <c r="C158" s="93">
        <v>2003</v>
      </c>
      <c r="D158" s="95" t="s">
        <v>370</v>
      </c>
      <c r="E158" s="90">
        <v>2015</v>
      </c>
      <c r="F158" s="90" t="s">
        <v>350</v>
      </c>
      <c r="G158" s="79">
        <f>N158/L158</f>
        <v>842.25430649070825</v>
      </c>
      <c r="H158" s="80" t="s">
        <v>1022</v>
      </c>
      <c r="I158" s="91" t="s">
        <v>132</v>
      </c>
      <c r="J158" s="87">
        <v>108</v>
      </c>
      <c r="K158" s="87">
        <v>1561</v>
      </c>
      <c r="L158" s="87">
        <v>185.65</v>
      </c>
      <c r="M158" s="82">
        <v>3.7879</v>
      </c>
      <c r="N158" s="83">
        <f>41280*M158</f>
        <v>156364.51199999999</v>
      </c>
      <c r="O158" s="84">
        <v>42104</v>
      </c>
      <c r="P158" s="25"/>
    </row>
    <row r="159" spans="1:58" s="26" customFormat="1" ht="45.6" customHeight="1" x14ac:dyDescent="0.25">
      <c r="A159" s="93">
        <v>1112</v>
      </c>
      <c r="B159" s="90" t="s">
        <v>351</v>
      </c>
      <c r="C159" s="93">
        <v>2014</v>
      </c>
      <c r="D159" s="95" t="s">
        <v>29</v>
      </c>
      <c r="E159" s="90">
        <v>2015</v>
      </c>
      <c r="F159" s="90" t="s">
        <v>352</v>
      </c>
      <c r="G159" s="79">
        <v>2865</v>
      </c>
      <c r="H159" s="80" t="s">
        <v>1080</v>
      </c>
      <c r="I159" s="91" t="s">
        <v>27</v>
      </c>
      <c r="J159" s="87">
        <v>109</v>
      </c>
      <c r="K159" s="87">
        <v>1562</v>
      </c>
      <c r="L159" s="87">
        <v>186.77</v>
      </c>
      <c r="M159" s="82"/>
      <c r="N159" s="83">
        <f>G159*L159</f>
        <v>535096.05000000005</v>
      </c>
      <c r="O159" s="84">
        <v>42107</v>
      </c>
      <c r="P159" s="25"/>
    </row>
    <row r="160" spans="1:58" s="71" customFormat="1" ht="71.400000000000006" customHeight="1" x14ac:dyDescent="0.25">
      <c r="A160" s="93">
        <v>1113</v>
      </c>
      <c r="B160" s="90" t="s">
        <v>353</v>
      </c>
      <c r="C160" s="93">
        <v>2010</v>
      </c>
      <c r="D160" s="95" t="s">
        <v>29</v>
      </c>
      <c r="E160" s="90">
        <v>2015</v>
      </c>
      <c r="F160" s="78" t="s">
        <v>123</v>
      </c>
      <c r="G160" s="79">
        <f>N160/L160</f>
        <v>3788.8230541341231</v>
      </c>
      <c r="H160" s="80" t="s">
        <v>354</v>
      </c>
      <c r="I160" s="91" t="s">
        <v>531</v>
      </c>
      <c r="J160" s="87">
        <v>110</v>
      </c>
      <c r="K160" s="87">
        <v>1563</v>
      </c>
      <c r="L160" s="87">
        <v>185.65</v>
      </c>
      <c r="M160" s="82">
        <v>30.45</v>
      </c>
      <c r="N160" s="83">
        <f>23100*M160</f>
        <v>703395</v>
      </c>
      <c r="O160" s="84">
        <v>42107</v>
      </c>
      <c r="P160" s="25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</row>
    <row r="161" spans="1:58" s="71" customFormat="1" ht="78" customHeight="1" x14ac:dyDescent="0.25">
      <c r="A161" s="93">
        <v>1114</v>
      </c>
      <c r="B161" s="90" t="s">
        <v>355</v>
      </c>
      <c r="C161" s="93">
        <v>2001</v>
      </c>
      <c r="D161" s="95" t="s">
        <v>29</v>
      </c>
      <c r="E161" s="90">
        <v>2015</v>
      </c>
      <c r="F161" s="78" t="s">
        <v>123</v>
      </c>
      <c r="G161" s="79">
        <f>N161/L161</f>
        <v>3788.8230541341231</v>
      </c>
      <c r="H161" s="80" t="s">
        <v>354</v>
      </c>
      <c r="I161" s="91" t="s">
        <v>531</v>
      </c>
      <c r="J161" s="87">
        <v>111</v>
      </c>
      <c r="K161" s="87">
        <v>1564</v>
      </c>
      <c r="L161" s="87">
        <v>185.65</v>
      </c>
      <c r="M161" s="82">
        <v>30.45</v>
      </c>
      <c r="N161" s="83">
        <f>23100*M161</f>
        <v>703395</v>
      </c>
      <c r="O161" s="84">
        <v>42107</v>
      </c>
      <c r="P161" s="25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</row>
    <row r="162" spans="1:58" s="71" customFormat="1" ht="77.400000000000006" customHeight="1" x14ac:dyDescent="0.25">
      <c r="A162" s="93">
        <v>1115</v>
      </c>
      <c r="B162" s="90" t="s">
        <v>356</v>
      </c>
      <c r="C162" s="93">
        <v>2012</v>
      </c>
      <c r="D162" s="95" t="s">
        <v>29</v>
      </c>
      <c r="E162" s="90">
        <v>2015</v>
      </c>
      <c r="F162" s="78" t="s">
        <v>44</v>
      </c>
      <c r="G162" s="79">
        <v>3995</v>
      </c>
      <c r="H162" s="80" t="s">
        <v>245</v>
      </c>
      <c r="I162" s="91" t="s">
        <v>531</v>
      </c>
      <c r="J162" s="87">
        <v>112</v>
      </c>
      <c r="K162" s="87">
        <v>1565</v>
      </c>
      <c r="L162" s="87">
        <v>186.77</v>
      </c>
      <c r="M162" s="82"/>
      <c r="N162" s="83">
        <f>G162*L162</f>
        <v>746146.15</v>
      </c>
      <c r="O162" s="84">
        <v>42107</v>
      </c>
      <c r="P162" s="25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</row>
    <row r="163" spans="1:58" s="71" customFormat="1" ht="79.95" customHeight="1" x14ac:dyDescent="0.25">
      <c r="A163" s="93"/>
      <c r="B163" s="90" t="s">
        <v>84</v>
      </c>
      <c r="C163" s="93">
        <v>2010</v>
      </c>
      <c r="D163" s="95" t="s">
        <v>29</v>
      </c>
      <c r="E163" s="90" t="s">
        <v>181</v>
      </c>
      <c r="F163" s="99" t="s">
        <v>35</v>
      </c>
      <c r="G163" s="79">
        <f>N163/L163</f>
        <v>1614.8235927821167</v>
      </c>
      <c r="H163" s="100" t="s">
        <v>368</v>
      </c>
      <c r="I163" s="91" t="s">
        <v>531</v>
      </c>
      <c r="J163" s="87">
        <v>113</v>
      </c>
      <c r="K163" s="87">
        <v>1566</v>
      </c>
      <c r="L163" s="87">
        <v>185.65</v>
      </c>
      <c r="M163" s="82"/>
      <c r="N163" s="83">
        <v>299792</v>
      </c>
      <c r="O163" s="84">
        <v>42107</v>
      </c>
      <c r="P163" s="25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</row>
    <row r="164" spans="1:58" s="71" customFormat="1" ht="75" customHeight="1" x14ac:dyDescent="0.25">
      <c r="A164" s="93"/>
      <c r="B164" s="90" t="s">
        <v>85</v>
      </c>
      <c r="C164" s="93">
        <v>2010</v>
      </c>
      <c r="D164" s="95" t="s">
        <v>29</v>
      </c>
      <c r="E164" s="90" t="s">
        <v>181</v>
      </c>
      <c r="F164" s="99" t="s">
        <v>35</v>
      </c>
      <c r="G164" s="79">
        <f>N164/L164</f>
        <v>1881.5028279019659</v>
      </c>
      <c r="H164" s="100" t="s">
        <v>369</v>
      </c>
      <c r="I164" s="91" t="s">
        <v>531</v>
      </c>
      <c r="J164" s="87">
        <v>114</v>
      </c>
      <c r="K164" s="87">
        <v>1567</v>
      </c>
      <c r="L164" s="87">
        <v>185.65</v>
      </c>
      <c r="M164" s="82"/>
      <c r="N164" s="83">
        <v>349301</v>
      </c>
      <c r="O164" s="84">
        <v>42107</v>
      </c>
      <c r="P164" s="25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</row>
    <row r="165" spans="1:58" s="26" customFormat="1" ht="58.2" customHeight="1" x14ac:dyDescent="0.25">
      <c r="A165" s="93"/>
      <c r="B165" s="90" t="s">
        <v>292</v>
      </c>
      <c r="C165" s="93">
        <v>2007</v>
      </c>
      <c r="D165" s="78" t="s">
        <v>293</v>
      </c>
      <c r="E165" s="78" t="s">
        <v>197</v>
      </c>
      <c r="F165" s="78" t="s">
        <v>357</v>
      </c>
      <c r="G165" s="79">
        <f>N165/L165</f>
        <v>81.413412335039041</v>
      </c>
      <c r="H165" s="80" t="s">
        <v>358</v>
      </c>
      <c r="I165" s="91" t="s">
        <v>132</v>
      </c>
      <c r="J165" s="87"/>
      <c r="K165" s="87"/>
      <c r="L165" s="87">
        <v>185.65</v>
      </c>
      <c r="M165" s="82">
        <v>3.7786</v>
      </c>
      <c r="N165" s="83">
        <f>4000*M165</f>
        <v>15114.4</v>
      </c>
      <c r="O165" s="84">
        <v>42108</v>
      </c>
      <c r="P165" s="25"/>
    </row>
    <row r="166" spans="1:58" s="26" customFormat="1" ht="78.599999999999994" customHeight="1" x14ac:dyDescent="0.25">
      <c r="A166" s="93">
        <v>1116</v>
      </c>
      <c r="B166" s="90" t="s">
        <v>359</v>
      </c>
      <c r="C166" s="93">
        <v>2008</v>
      </c>
      <c r="D166" s="90" t="s">
        <v>371</v>
      </c>
      <c r="E166" s="78">
        <v>2015</v>
      </c>
      <c r="F166" s="101" t="s">
        <v>91</v>
      </c>
      <c r="G166" s="79">
        <v>2100</v>
      </c>
      <c r="H166" s="80" t="s">
        <v>999</v>
      </c>
      <c r="I166" s="91" t="s">
        <v>132</v>
      </c>
      <c r="J166" s="87">
        <v>115</v>
      </c>
      <c r="K166" s="87">
        <v>1568</v>
      </c>
      <c r="L166" s="87">
        <v>186.92</v>
      </c>
      <c r="M166" s="82"/>
      <c r="N166" s="83">
        <f t="shared" ref="N166:N171" si="10">G166*L166</f>
        <v>392532</v>
      </c>
      <c r="O166" s="84">
        <v>42108</v>
      </c>
      <c r="P166" s="25"/>
    </row>
    <row r="167" spans="1:58" s="71" customFormat="1" ht="92.4" customHeight="1" x14ac:dyDescent="0.25">
      <c r="A167" s="173">
        <v>1117</v>
      </c>
      <c r="B167" s="175" t="s">
        <v>360</v>
      </c>
      <c r="C167" s="173">
        <v>2012</v>
      </c>
      <c r="D167" s="191" t="s">
        <v>372</v>
      </c>
      <c r="E167" s="184">
        <v>2015</v>
      </c>
      <c r="F167" s="175" t="s">
        <v>102</v>
      </c>
      <c r="G167" s="79">
        <v>9000</v>
      </c>
      <c r="H167" s="80" t="s">
        <v>47</v>
      </c>
      <c r="I167" s="161" t="s">
        <v>531</v>
      </c>
      <c r="J167" s="157">
        <v>116</v>
      </c>
      <c r="K167" s="157">
        <v>1569</v>
      </c>
      <c r="L167" s="87">
        <v>186.92</v>
      </c>
      <c r="M167" s="82"/>
      <c r="N167" s="83">
        <f t="shared" si="10"/>
        <v>1682280</v>
      </c>
      <c r="O167" s="84">
        <v>42108</v>
      </c>
      <c r="P167" s="25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</row>
    <row r="168" spans="1:58" s="71" customFormat="1" ht="42" customHeight="1" x14ac:dyDescent="0.25">
      <c r="A168" s="180"/>
      <c r="B168" s="176"/>
      <c r="C168" s="174"/>
      <c r="D168" s="192"/>
      <c r="E168" s="178"/>
      <c r="F168" s="176"/>
      <c r="G168" s="79">
        <v>9000</v>
      </c>
      <c r="H168" s="80" t="s">
        <v>47</v>
      </c>
      <c r="I168" s="162"/>
      <c r="J168" s="151"/>
      <c r="K168" s="151"/>
      <c r="L168" s="87">
        <v>186.92</v>
      </c>
      <c r="M168" s="82"/>
      <c r="N168" s="83">
        <f t="shared" si="10"/>
        <v>1682280</v>
      </c>
      <c r="O168" s="84">
        <v>42109</v>
      </c>
      <c r="P168" s="25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</row>
    <row r="169" spans="1:58" s="26" customFormat="1" ht="73.2" customHeight="1" x14ac:dyDescent="0.25">
      <c r="A169" s="93">
        <v>1118</v>
      </c>
      <c r="B169" s="90" t="s">
        <v>361</v>
      </c>
      <c r="C169" s="93">
        <v>2008</v>
      </c>
      <c r="D169" s="95" t="s">
        <v>58</v>
      </c>
      <c r="E169" s="90">
        <v>2015</v>
      </c>
      <c r="F169" s="78" t="s">
        <v>362</v>
      </c>
      <c r="G169" s="79">
        <v>629</v>
      </c>
      <c r="H169" s="80" t="s">
        <v>363</v>
      </c>
      <c r="I169" s="91" t="s">
        <v>132</v>
      </c>
      <c r="J169" s="87">
        <v>117</v>
      </c>
      <c r="K169" s="87">
        <v>1570</v>
      </c>
      <c r="L169" s="87">
        <v>186.92</v>
      </c>
      <c r="M169" s="82"/>
      <c r="N169" s="83">
        <f t="shared" si="10"/>
        <v>117572.68</v>
      </c>
      <c r="O169" s="84">
        <v>42108</v>
      </c>
      <c r="P169" s="25"/>
    </row>
    <row r="170" spans="1:58" s="26" customFormat="1" ht="61.95" customHeight="1" x14ac:dyDescent="0.25">
      <c r="A170" s="93">
        <v>1119</v>
      </c>
      <c r="B170" s="90" t="s">
        <v>364</v>
      </c>
      <c r="C170" s="93">
        <v>2009</v>
      </c>
      <c r="D170" s="95" t="s">
        <v>29</v>
      </c>
      <c r="E170" s="90">
        <v>2015</v>
      </c>
      <c r="F170" s="78" t="s">
        <v>44</v>
      </c>
      <c r="G170" s="79">
        <v>3994</v>
      </c>
      <c r="H170" s="80" t="s">
        <v>153</v>
      </c>
      <c r="I170" s="91" t="s">
        <v>27</v>
      </c>
      <c r="J170" s="87">
        <v>118</v>
      </c>
      <c r="K170" s="87">
        <v>1571</v>
      </c>
      <c r="L170" s="87">
        <v>186.92</v>
      </c>
      <c r="M170" s="82"/>
      <c r="N170" s="83">
        <f t="shared" si="10"/>
        <v>746558.48</v>
      </c>
      <c r="O170" s="84">
        <v>42108</v>
      </c>
      <c r="P170" s="25"/>
    </row>
    <row r="171" spans="1:58" s="26" customFormat="1" ht="57" customHeight="1" x14ac:dyDescent="0.25">
      <c r="A171" s="93">
        <v>1120</v>
      </c>
      <c r="B171" s="90" t="s">
        <v>365</v>
      </c>
      <c r="C171" s="93">
        <v>2006</v>
      </c>
      <c r="D171" s="95" t="s">
        <v>29</v>
      </c>
      <c r="E171" s="90">
        <v>2015</v>
      </c>
      <c r="F171" s="78" t="s">
        <v>44</v>
      </c>
      <c r="G171" s="79">
        <v>3994</v>
      </c>
      <c r="H171" s="80" t="s">
        <v>153</v>
      </c>
      <c r="I171" s="91" t="s">
        <v>27</v>
      </c>
      <c r="J171" s="87">
        <v>119</v>
      </c>
      <c r="K171" s="87">
        <v>1572</v>
      </c>
      <c r="L171" s="87">
        <v>186.92</v>
      </c>
      <c r="M171" s="82"/>
      <c r="N171" s="83">
        <f t="shared" si="10"/>
        <v>746558.48</v>
      </c>
      <c r="O171" s="84">
        <v>42108</v>
      </c>
      <c r="P171" s="25"/>
    </row>
    <row r="172" spans="1:58" s="26" customFormat="1" ht="58.95" customHeight="1" x14ac:dyDescent="0.25">
      <c r="A172" s="93">
        <v>1121</v>
      </c>
      <c r="B172" s="90" t="s">
        <v>366</v>
      </c>
      <c r="C172" s="93">
        <v>2012</v>
      </c>
      <c r="D172" s="95" t="s">
        <v>29</v>
      </c>
      <c r="E172" s="90">
        <v>2015</v>
      </c>
      <c r="F172" s="90" t="s">
        <v>373</v>
      </c>
      <c r="G172" s="79">
        <f>N172/L172</f>
        <v>3699.3151237890202</v>
      </c>
      <c r="H172" s="80" t="s">
        <v>367</v>
      </c>
      <c r="I172" s="91" t="s">
        <v>27</v>
      </c>
      <c r="J172" s="87">
        <v>120</v>
      </c>
      <c r="K172" s="87">
        <v>1573</v>
      </c>
      <c r="L172" s="87">
        <v>185.8</v>
      </c>
      <c r="M172" s="82">
        <v>198.25</v>
      </c>
      <c r="N172" s="83">
        <f>3467*M172</f>
        <v>687332.75</v>
      </c>
      <c r="O172" s="84">
        <v>42108</v>
      </c>
      <c r="P172" s="25"/>
    </row>
    <row r="173" spans="1:58" s="24" customFormat="1" ht="43.95" customHeight="1" x14ac:dyDescent="0.25">
      <c r="A173" s="102"/>
      <c r="B173" s="103" t="s">
        <v>40</v>
      </c>
      <c r="C173" s="102">
        <v>2011</v>
      </c>
      <c r="D173" s="104" t="s">
        <v>29</v>
      </c>
      <c r="E173" s="103" t="s">
        <v>181</v>
      </c>
      <c r="F173" s="103" t="s">
        <v>105</v>
      </c>
      <c r="G173" s="79">
        <f>N173/L173</f>
        <v>1939.2782116886615</v>
      </c>
      <c r="H173" s="80" t="s">
        <v>1120</v>
      </c>
      <c r="I173" s="105" t="s">
        <v>27</v>
      </c>
      <c r="J173" s="106">
        <v>121</v>
      </c>
      <c r="K173" s="106">
        <v>1574</v>
      </c>
      <c r="L173" s="87">
        <v>185.65</v>
      </c>
      <c r="M173" s="107">
        <v>3.27</v>
      </c>
      <c r="N173" s="83">
        <f>110100*M173</f>
        <v>360027</v>
      </c>
      <c r="O173" s="84">
        <v>42097</v>
      </c>
      <c r="P173" s="25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</row>
    <row r="174" spans="1:58" s="26" customFormat="1" ht="41.4" customHeight="1" x14ac:dyDescent="0.25">
      <c r="A174" s="173">
        <v>1122</v>
      </c>
      <c r="B174" s="175" t="s">
        <v>374</v>
      </c>
      <c r="C174" s="173">
        <v>2010</v>
      </c>
      <c r="D174" s="191" t="s">
        <v>375</v>
      </c>
      <c r="E174" s="175">
        <v>2015</v>
      </c>
      <c r="F174" s="175" t="s">
        <v>376</v>
      </c>
      <c r="G174" s="79">
        <v>9000</v>
      </c>
      <c r="H174" s="80" t="s">
        <v>47</v>
      </c>
      <c r="I174" s="161" t="s">
        <v>132</v>
      </c>
      <c r="J174" s="157">
        <v>122</v>
      </c>
      <c r="K174" s="157">
        <v>1575</v>
      </c>
      <c r="L174" s="87">
        <v>183.78</v>
      </c>
      <c r="M174" s="145"/>
      <c r="N174" s="83">
        <f>G174*L174</f>
        <v>1654020</v>
      </c>
      <c r="O174" s="84">
        <v>42111</v>
      </c>
      <c r="P174" s="25"/>
    </row>
    <row r="175" spans="1:58" s="26" customFormat="1" ht="59.4" customHeight="1" x14ac:dyDescent="0.25">
      <c r="A175" s="174"/>
      <c r="B175" s="176"/>
      <c r="C175" s="174"/>
      <c r="D175" s="192"/>
      <c r="E175" s="176"/>
      <c r="F175" s="176"/>
      <c r="G175" s="79">
        <v>5400</v>
      </c>
      <c r="H175" s="80" t="s">
        <v>377</v>
      </c>
      <c r="I175" s="162"/>
      <c r="J175" s="158"/>
      <c r="K175" s="158"/>
      <c r="L175" s="87">
        <v>183.78</v>
      </c>
      <c r="M175" s="146"/>
      <c r="N175" s="83">
        <f>G175*L175</f>
        <v>992412</v>
      </c>
      <c r="O175" s="84">
        <v>42115</v>
      </c>
      <c r="P175" s="25"/>
    </row>
    <row r="176" spans="1:58" s="27" customFormat="1" ht="50.4" customHeight="1" x14ac:dyDescent="0.25">
      <c r="A176" s="173"/>
      <c r="B176" s="175" t="s">
        <v>360</v>
      </c>
      <c r="C176" s="173">
        <v>2012</v>
      </c>
      <c r="D176" s="191" t="s">
        <v>372</v>
      </c>
      <c r="E176" s="175" t="s">
        <v>197</v>
      </c>
      <c r="F176" s="175" t="s">
        <v>102</v>
      </c>
      <c r="G176" s="79">
        <v>9000</v>
      </c>
      <c r="H176" s="80" t="s">
        <v>47</v>
      </c>
      <c r="I176" s="161" t="s">
        <v>531</v>
      </c>
      <c r="J176" s="157"/>
      <c r="K176" s="157"/>
      <c r="L176" s="87">
        <v>183.78</v>
      </c>
      <c r="M176" s="82"/>
      <c r="N176" s="83">
        <f>G176*L176</f>
        <v>1654020</v>
      </c>
      <c r="O176" s="84">
        <v>42111</v>
      </c>
      <c r="P176" s="25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</row>
    <row r="177" spans="1:58" s="26" customFormat="1" ht="36" customHeight="1" x14ac:dyDescent="0.25">
      <c r="A177" s="174"/>
      <c r="B177" s="176"/>
      <c r="C177" s="174"/>
      <c r="D177" s="192"/>
      <c r="E177" s="178"/>
      <c r="F177" s="176"/>
      <c r="G177" s="79">
        <v>8300</v>
      </c>
      <c r="H177" s="80" t="s">
        <v>382</v>
      </c>
      <c r="I177" s="164"/>
      <c r="J177" s="158"/>
      <c r="K177" s="158"/>
      <c r="L177" s="87">
        <v>183.78</v>
      </c>
      <c r="M177" s="82"/>
      <c r="N177" s="83">
        <f>G177*L177</f>
        <v>1525374</v>
      </c>
      <c r="O177" s="108" t="s">
        <v>383</v>
      </c>
      <c r="P177" s="25"/>
    </row>
    <row r="178" spans="1:58" s="71" customFormat="1" ht="73.95" customHeight="1" x14ac:dyDescent="0.25">
      <c r="A178" s="93">
        <v>1123</v>
      </c>
      <c r="B178" s="90" t="s">
        <v>378</v>
      </c>
      <c r="C178" s="93">
        <v>2008</v>
      </c>
      <c r="D178" s="109" t="s">
        <v>29</v>
      </c>
      <c r="E178" s="90">
        <v>2015</v>
      </c>
      <c r="F178" s="78" t="s">
        <v>123</v>
      </c>
      <c r="G178" s="79">
        <f>N178/L178</f>
        <v>3801.9268030139933</v>
      </c>
      <c r="H178" s="80" t="s">
        <v>354</v>
      </c>
      <c r="I178" s="91" t="s">
        <v>531</v>
      </c>
      <c r="J178" s="87">
        <v>123</v>
      </c>
      <c r="K178" s="87">
        <v>1576</v>
      </c>
      <c r="L178" s="87">
        <v>185.8</v>
      </c>
      <c r="M178" s="82">
        <v>30.58</v>
      </c>
      <c r="N178" s="83">
        <f>23100*M178</f>
        <v>706398</v>
      </c>
      <c r="O178" s="84">
        <v>42115</v>
      </c>
      <c r="P178" s="25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</row>
    <row r="179" spans="1:58" s="71" customFormat="1" ht="73.2" customHeight="1" x14ac:dyDescent="0.25">
      <c r="A179" s="93">
        <v>1124</v>
      </c>
      <c r="B179" s="90" t="s">
        <v>379</v>
      </c>
      <c r="C179" s="93">
        <v>2011</v>
      </c>
      <c r="D179" s="95" t="s">
        <v>29</v>
      </c>
      <c r="E179" s="90">
        <v>2015</v>
      </c>
      <c r="F179" s="78" t="s">
        <v>123</v>
      </c>
      <c r="G179" s="79">
        <f>N179/L179</f>
        <v>3801.9268030139933</v>
      </c>
      <c r="H179" s="80" t="s">
        <v>354</v>
      </c>
      <c r="I179" s="91" t="s">
        <v>531</v>
      </c>
      <c r="J179" s="87">
        <v>124</v>
      </c>
      <c r="K179" s="87">
        <v>1577</v>
      </c>
      <c r="L179" s="87">
        <v>185.8</v>
      </c>
      <c r="M179" s="82">
        <v>30.58</v>
      </c>
      <c r="N179" s="83">
        <f>23100*M179</f>
        <v>706398</v>
      </c>
      <c r="O179" s="84">
        <v>42115</v>
      </c>
      <c r="P179" s="25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</row>
    <row r="180" spans="1:58" s="26" customFormat="1" ht="37.950000000000003" customHeight="1" x14ac:dyDescent="0.25">
      <c r="A180" s="173"/>
      <c r="B180" s="175" t="s">
        <v>162</v>
      </c>
      <c r="C180" s="173">
        <v>2004</v>
      </c>
      <c r="D180" s="184" t="s">
        <v>380</v>
      </c>
      <c r="E180" s="175" t="s">
        <v>195</v>
      </c>
      <c r="F180" s="205" t="s">
        <v>91</v>
      </c>
      <c r="G180" s="153">
        <v>1700</v>
      </c>
      <c r="H180" s="155" t="s">
        <v>89</v>
      </c>
      <c r="I180" s="161" t="s">
        <v>1062</v>
      </c>
      <c r="J180" s="157">
        <v>125</v>
      </c>
      <c r="K180" s="157">
        <v>1578</v>
      </c>
      <c r="L180" s="157">
        <v>183.78</v>
      </c>
      <c r="M180" s="145"/>
      <c r="N180" s="159">
        <f>G180*L180</f>
        <v>312426</v>
      </c>
      <c r="O180" s="149">
        <v>42115</v>
      </c>
      <c r="P180" s="25"/>
    </row>
    <row r="181" spans="1:58" s="26" customFormat="1" ht="39" customHeight="1" x14ac:dyDescent="0.25">
      <c r="A181" s="174"/>
      <c r="B181" s="176"/>
      <c r="C181" s="174"/>
      <c r="D181" s="178"/>
      <c r="E181" s="176"/>
      <c r="F181" s="219"/>
      <c r="G181" s="154"/>
      <c r="H181" s="156"/>
      <c r="I181" s="162"/>
      <c r="J181" s="158"/>
      <c r="K181" s="158"/>
      <c r="L181" s="158"/>
      <c r="M181" s="146"/>
      <c r="N181" s="160"/>
      <c r="O181" s="150"/>
      <c r="P181" s="25"/>
    </row>
    <row r="182" spans="1:58" s="26" customFormat="1" ht="36.6" customHeight="1" x14ac:dyDescent="0.25">
      <c r="A182" s="173">
        <v>1125</v>
      </c>
      <c r="B182" s="175" t="s">
        <v>381</v>
      </c>
      <c r="C182" s="173">
        <v>2014</v>
      </c>
      <c r="D182" s="184" t="s">
        <v>70</v>
      </c>
      <c r="E182" s="175">
        <v>2015</v>
      </c>
      <c r="F182" s="175" t="s">
        <v>102</v>
      </c>
      <c r="G182" s="79">
        <v>9000</v>
      </c>
      <c r="H182" s="80" t="s">
        <v>47</v>
      </c>
      <c r="I182" s="161" t="s">
        <v>132</v>
      </c>
      <c r="J182" s="157">
        <v>126</v>
      </c>
      <c r="K182" s="157">
        <v>1579</v>
      </c>
      <c r="L182" s="87">
        <v>183.78</v>
      </c>
      <c r="M182" s="82"/>
      <c r="N182" s="83">
        <f>G182*L182</f>
        <v>1654020</v>
      </c>
      <c r="O182" s="84">
        <v>42117</v>
      </c>
      <c r="P182" s="25"/>
    </row>
    <row r="183" spans="1:58" s="26" customFormat="1" ht="37.200000000000003" customHeight="1" x14ac:dyDescent="0.25">
      <c r="A183" s="174"/>
      <c r="B183" s="176"/>
      <c r="C183" s="174"/>
      <c r="D183" s="183"/>
      <c r="E183" s="176"/>
      <c r="F183" s="178"/>
      <c r="G183" s="79">
        <v>3800</v>
      </c>
      <c r="H183" s="80" t="s">
        <v>41</v>
      </c>
      <c r="I183" s="162"/>
      <c r="J183" s="158"/>
      <c r="K183" s="158"/>
      <c r="L183" s="87">
        <v>183.78</v>
      </c>
      <c r="M183" s="82"/>
      <c r="N183" s="83">
        <f>G183*L183</f>
        <v>698364</v>
      </c>
      <c r="O183" s="108">
        <v>42118</v>
      </c>
      <c r="P183" s="25"/>
    </row>
    <row r="184" spans="1:58" s="71" customFormat="1" ht="49.95" customHeight="1" x14ac:dyDescent="0.25">
      <c r="A184" s="93"/>
      <c r="B184" s="90" t="s">
        <v>21</v>
      </c>
      <c r="C184" s="93">
        <v>2005</v>
      </c>
      <c r="D184" s="110" t="s">
        <v>22</v>
      </c>
      <c r="E184" s="90" t="s">
        <v>384</v>
      </c>
      <c r="F184" s="90" t="s">
        <v>385</v>
      </c>
      <c r="G184" s="79">
        <f>N184/L184</f>
        <v>1686.7910925726585</v>
      </c>
      <c r="H184" s="80" t="s">
        <v>386</v>
      </c>
      <c r="I184" s="91" t="s">
        <v>132</v>
      </c>
      <c r="J184" s="87">
        <v>127</v>
      </c>
      <c r="K184" s="87">
        <v>1580</v>
      </c>
      <c r="L184" s="87">
        <v>185.8</v>
      </c>
      <c r="M184" s="82">
        <v>3.7736999999999998</v>
      </c>
      <c r="N184" s="83">
        <f>83050*M184</f>
        <v>313405.78499999997</v>
      </c>
      <c r="O184" s="84">
        <v>42117</v>
      </c>
      <c r="P184" s="25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</row>
    <row r="185" spans="1:58" s="71" customFormat="1" ht="76.95" customHeight="1" x14ac:dyDescent="0.25">
      <c r="A185" s="93">
        <v>1126</v>
      </c>
      <c r="B185" s="90" t="s">
        <v>387</v>
      </c>
      <c r="C185" s="93">
        <v>2013</v>
      </c>
      <c r="D185" s="111" t="s">
        <v>29</v>
      </c>
      <c r="E185" s="90">
        <v>2015</v>
      </c>
      <c r="F185" s="78" t="s">
        <v>123</v>
      </c>
      <c r="G185" s="79">
        <f>N185/L185</f>
        <v>3803.1700753498385</v>
      </c>
      <c r="H185" s="80" t="s">
        <v>354</v>
      </c>
      <c r="I185" s="91" t="s">
        <v>531</v>
      </c>
      <c r="J185" s="87">
        <v>128</v>
      </c>
      <c r="K185" s="87">
        <v>1581</v>
      </c>
      <c r="L185" s="87">
        <v>185.8</v>
      </c>
      <c r="M185" s="82">
        <v>30.59</v>
      </c>
      <c r="N185" s="83">
        <f>23100*M185</f>
        <v>706629</v>
      </c>
      <c r="O185" s="84">
        <v>42117</v>
      </c>
      <c r="P185" s="25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</row>
    <row r="186" spans="1:58" s="71" customFormat="1" ht="69.599999999999994" customHeight="1" x14ac:dyDescent="0.25">
      <c r="A186" s="93">
        <v>1127</v>
      </c>
      <c r="B186" s="90" t="s">
        <v>388</v>
      </c>
      <c r="C186" s="93">
        <v>2013</v>
      </c>
      <c r="D186" s="111" t="s">
        <v>29</v>
      </c>
      <c r="E186" s="90">
        <v>2015</v>
      </c>
      <c r="F186" s="78" t="s">
        <v>123</v>
      </c>
      <c r="G186" s="79">
        <f>N186/L186</f>
        <v>3803.1700753498385</v>
      </c>
      <c r="H186" s="80" t="s">
        <v>354</v>
      </c>
      <c r="I186" s="91" t="s">
        <v>531</v>
      </c>
      <c r="J186" s="87">
        <v>129</v>
      </c>
      <c r="K186" s="87">
        <v>1582</v>
      </c>
      <c r="L186" s="87">
        <v>185.8</v>
      </c>
      <c r="M186" s="82">
        <v>30.59</v>
      </c>
      <c r="N186" s="83">
        <f>23100*M186</f>
        <v>706629</v>
      </c>
      <c r="O186" s="84">
        <v>42117</v>
      </c>
      <c r="P186" s="25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</row>
    <row r="187" spans="1:58" s="71" customFormat="1" ht="75.599999999999994" customHeight="1" x14ac:dyDescent="0.25">
      <c r="A187" s="93">
        <v>1128</v>
      </c>
      <c r="B187" s="90" t="s">
        <v>389</v>
      </c>
      <c r="C187" s="93">
        <v>2011</v>
      </c>
      <c r="D187" s="111" t="s">
        <v>29</v>
      </c>
      <c r="E187" s="90">
        <v>2015</v>
      </c>
      <c r="F187" s="78" t="s">
        <v>123</v>
      </c>
      <c r="G187" s="79">
        <f>N187/L187</f>
        <v>3803.1700753498385</v>
      </c>
      <c r="H187" s="80" t="s">
        <v>354</v>
      </c>
      <c r="I187" s="91" t="s">
        <v>531</v>
      </c>
      <c r="J187" s="87">
        <v>130</v>
      </c>
      <c r="K187" s="87">
        <v>1583</v>
      </c>
      <c r="L187" s="87">
        <v>185.8</v>
      </c>
      <c r="M187" s="82">
        <v>30.59</v>
      </c>
      <c r="N187" s="83">
        <f>23100*M187</f>
        <v>706629</v>
      </c>
      <c r="O187" s="84">
        <v>42117</v>
      </c>
      <c r="P187" s="25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</row>
    <row r="188" spans="1:58" s="71" customFormat="1" ht="76.2" customHeight="1" x14ac:dyDescent="0.25">
      <c r="A188" s="93">
        <v>1129</v>
      </c>
      <c r="B188" s="90" t="s">
        <v>390</v>
      </c>
      <c r="C188" s="93">
        <v>2003</v>
      </c>
      <c r="D188" s="111" t="s">
        <v>29</v>
      </c>
      <c r="E188" s="90">
        <v>2015</v>
      </c>
      <c r="F188" s="90" t="s">
        <v>391</v>
      </c>
      <c r="G188" s="79">
        <f>N188/L188</f>
        <v>4194.1283638320765</v>
      </c>
      <c r="H188" s="80" t="s">
        <v>392</v>
      </c>
      <c r="I188" s="91" t="s">
        <v>531</v>
      </c>
      <c r="J188" s="87">
        <v>131</v>
      </c>
      <c r="K188" s="87">
        <v>1584</v>
      </c>
      <c r="L188" s="87">
        <v>185.8</v>
      </c>
      <c r="M188" s="82">
        <v>3.7736999999999998</v>
      </c>
      <c r="N188" s="83">
        <f>206500*M188</f>
        <v>779269.04999999993</v>
      </c>
      <c r="O188" s="84">
        <v>42117</v>
      </c>
      <c r="P188" s="25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</row>
    <row r="189" spans="1:58" s="26" customFormat="1" ht="75.599999999999994" customHeight="1" x14ac:dyDescent="0.25">
      <c r="A189" s="93"/>
      <c r="B189" s="90" t="s">
        <v>361</v>
      </c>
      <c r="C189" s="93">
        <v>2008</v>
      </c>
      <c r="D189" s="111" t="s">
        <v>393</v>
      </c>
      <c r="E189" s="78" t="s">
        <v>197</v>
      </c>
      <c r="F189" s="78" t="s">
        <v>362</v>
      </c>
      <c r="G189" s="79">
        <v>4650</v>
      </c>
      <c r="H189" s="80" t="s">
        <v>394</v>
      </c>
      <c r="I189" s="91" t="s">
        <v>132</v>
      </c>
      <c r="J189" s="87"/>
      <c r="K189" s="87"/>
      <c r="L189" s="87">
        <v>183.78</v>
      </c>
      <c r="M189" s="82"/>
      <c r="N189" s="83">
        <f>G189*L189</f>
        <v>854577</v>
      </c>
      <c r="O189" s="84">
        <v>42118</v>
      </c>
      <c r="P189" s="25"/>
    </row>
    <row r="190" spans="1:58" s="26" customFormat="1" ht="34.200000000000003" customHeight="1" x14ac:dyDescent="0.25">
      <c r="A190" s="93">
        <v>1130</v>
      </c>
      <c r="B190" s="90" t="s">
        <v>395</v>
      </c>
      <c r="C190" s="93">
        <v>2011</v>
      </c>
      <c r="D190" s="111" t="s">
        <v>29</v>
      </c>
      <c r="E190" s="90">
        <v>2015</v>
      </c>
      <c r="F190" s="92" t="s">
        <v>35</v>
      </c>
      <c r="G190" s="79">
        <f t="shared" ref="G190:G196" si="11">N190/L190</f>
        <v>1663.3046286329386</v>
      </c>
      <c r="H190" s="100" t="s">
        <v>396</v>
      </c>
      <c r="I190" s="91" t="s">
        <v>132</v>
      </c>
      <c r="J190" s="87">
        <v>132</v>
      </c>
      <c r="K190" s="87">
        <v>1585</v>
      </c>
      <c r="L190" s="87">
        <v>185.8</v>
      </c>
      <c r="M190" s="82"/>
      <c r="N190" s="83">
        <v>309042</v>
      </c>
      <c r="O190" s="84">
        <v>42122</v>
      </c>
      <c r="P190" s="25"/>
    </row>
    <row r="191" spans="1:58" s="26" customFormat="1" ht="72" customHeight="1" x14ac:dyDescent="0.25">
      <c r="A191" s="93">
        <v>1131</v>
      </c>
      <c r="B191" s="90" t="s">
        <v>397</v>
      </c>
      <c r="C191" s="93">
        <v>2001</v>
      </c>
      <c r="D191" s="111" t="s">
        <v>398</v>
      </c>
      <c r="E191" s="90">
        <v>2015</v>
      </c>
      <c r="F191" s="90" t="s">
        <v>135</v>
      </c>
      <c r="G191" s="79">
        <f t="shared" si="11"/>
        <v>4567.7200430570501</v>
      </c>
      <c r="H191" s="80" t="s">
        <v>399</v>
      </c>
      <c r="I191" s="91" t="s">
        <v>132</v>
      </c>
      <c r="J191" s="87">
        <v>133</v>
      </c>
      <c r="K191" s="87">
        <v>1586</v>
      </c>
      <c r="L191" s="87">
        <v>185.8</v>
      </c>
      <c r="M191" s="82">
        <v>3.7307999999999999</v>
      </c>
      <c r="N191" s="83">
        <f>227480*M191</f>
        <v>848682.38399999996</v>
      </c>
      <c r="O191" s="84">
        <v>42122</v>
      </c>
      <c r="P191" s="25"/>
    </row>
    <row r="192" spans="1:58" s="26" customFormat="1" ht="34.200000000000003" customHeight="1" x14ac:dyDescent="0.25">
      <c r="A192" s="93">
        <v>1132</v>
      </c>
      <c r="B192" s="90" t="s">
        <v>400</v>
      </c>
      <c r="C192" s="93">
        <v>2012</v>
      </c>
      <c r="D192" s="111" t="s">
        <v>29</v>
      </c>
      <c r="E192" s="90">
        <v>2015</v>
      </c>
      <c r="F192" s="78" t="s">
        <v>123</v>
      </c>
      <c r="G192" s="79">
        <f t="shared" si="11"/>
        <v>3796.9537136706135</v>
      </c>
      <c r="H192" s="80" t="s">
        <v>354</v>
      </c>
      <c r="I192" s="91" t="s">
        <v>132</v>
      </c>
      <c r="J192" s="87">
        <v>134</v>
      </c>
      <c r="K192" s="87">
        <v>1587</v>
      </c>
      <c r="L192" s="87">
        <v>185.8</v>
      </c>
      <c r="M192" s="82">
        <v>30.54</v>
      </c>
      <c r="N192" s="83">
        <f>23100*M192</f>
        <v>705474</v>
      </c>
      <c r="O192" s="84">
        <v>42122</v>
      </c>
      <c r="P192" s="25"/>
    </row>
    <row r="193" spans="1:39" s="26" customFormat="1" ht="33" customHeight="1" x14ac:dyDescent="0.25">
      <c r="A193" s="93">
        <v>1133</v>
      </c>
      <c r="B193" s="90" t="s">
        <v>401</v>
      </c>
      <c r="C193" s="93">
        <v>2013</v>
      </c>
      <c r="D193" s="111" t="s">
        <v>29</v>
      </c>
      <c r="E193" s="90">
        <v>2015</v>
      </c>
      <c r="F193" s="78" t="s">
        <v>123</v>
      </c>
      <c r="G193" s="79">
        <f t="shared" si="11"/>
        <v>1607.2127018299245</v>
      </c>
      <c r="H193" s="80" t="s">
        <v>550</v>
      </c>
      <c r="I193" s="91" t="s">
        <v>132</v>
      </c>
      <c r="J193" s="87">
        <v>135</v>
      </c>
      <c r="K193" s="87">
        <v>1588</v>
      </c>
      <c r="L193" s="87">
        <v>185.8</v>
      </c>
      <c r="M193" s="82">
        <v>30.54</v>
      </c>
      <c r="N193" s="83">
        <f>9778*M193</f>
        <v>298620.12</v>
      </c>
      <c r="O193" s="84">
        <v>42122</v>
      </c>
      <c r="P193" s="25"/>
    </row>
    <row r="194" spans="1:39" s="26" customFormat="1" ht="48" customHeight="1" x14ac:dyDescent="0.25">
      <c r="A194" s="93">
        <v>1134</v>
      </c>
      <c r="B194" s="90" t="s">
        <v>402</v>
      </c>
      <c r="C194" s="93">
        <v>2008</v>
      </c>
      <c r="D194" s="111" t="s">
        <v>29</v>
      </c>
      <c r="E194" s="90">
        <v>2015</v>
      </c>
      <c r="F194" s="90" t="s">
        <v>329</v>
      </c>
      <c r="G194" s="79">
        <f t="shared" si="11"/>
        <v>2433.6542518837455</v>
      </c>
      <c r="H194" s="80" t="s">
        <v>415</v>
      </c>
      <c r="I194" s="91" t="s">
        <v>132</v>
      </c>
      <c r="J194" s="87">
        <v>136</v>
      </c>
      <c r="K194" s="87">
        <v>1589</v>
      </c>
      <c r="L194" s="87">
        <v>185.8</v>
      </c>
      <c r="M194" s="82">
        <v>3.7307999999999999</v>
      </c>
      <c r="N194" s="83">
        <f>121200*M194</f>
        <v>452172.95999999996</v>
      </c>
      <c r="O194" s="84">
        <v>42122</v>
      </c>
      <c r="P194" s="25"/>
    </row>
    <row r="195" spans="1:39" s="71" customFormat="1" ht="140.4" customHeight="1" x14ac:dyDescent="0.25">
      <c r="A195" s="93"/>
      <c r="B195" s="90" t="s">
        <v>57</v>
      </c>
      <c r="C195" s="93">
        <v>2005</v>
      </c>
      <c r="D195" s="92" t="s">
        <v>403</v>
      </c>
      <c r="E195" s="90" t="s">
        <v>429</v>
      </c>
      <c r="F195" s="90" t="s">
        <v>404</v>
      </c>
      <c r="G195" s="79">
        <f t="shared" si="11"/>
        <v>4150.4897739504841</v>
      </c>
      <c r="H195" s="80" t="s">
        <v>405</v>
      </c>
      <c r="I195" s="91" t="s">
        <v>132</v>
      </c>
      <c r="J195" s="87">
        <v>137</v>
      </c>
      <c r="K195" s="87">
        <v>1590</v>
      </c>
      <c r="L195" s="87">
        <v>185.8</v>
      </c>
      <c r="M195" s="82">
        <v>3.7435</v>
      </c>
      <c r="N195" s="83">
        <f>206000*M195</f>
        <v>771161</v>
      </c>
      <c r="O195" s="84">
        <v>42129</v>
      </c>
      <c r="P195" s="25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</row>
    <row r="196" spans="1:39" s="26" customFormat="1" ht="49.2" customHeight="1" x14ac:dyDescent="0.25">
      <c r="A196" s="93"/>
      <c r="B196" s="90" t="s">
        <v>138</v>
      </c>
      <c r="C196" s="93">
        <v>2011</v>
      </c>
      <c r="D196" s="112" t="s">
        <v>139</v>
      </c>
      <c r="E196" s="90" t="s">
        <v>181</v>
      </c>
      <c r="F196" s="90" t="s">
        <v>406</v>
      </c>
      <c r="G196" s="79">
        <f t="shared" si="11"/>
        <v>2135.6889128094726</v>
      </c>
      <c r="H196" s="80" t="s">
        <v>407</v>
      </c>
      <c r="I196" s="91" t="s">
        <v>132</v>
      </c>
      <c r="J196" s="87">
        <v>138</v>
      </c>
      <c r="K196" s="87">
        <v>1591</v>
      </c>
      <c r="L196" s="87">
        <v>185.8</v>
      </c>
      <c r="M196" s="82">
        <v>3.7435</v>
      </c>
      <c r="N196" s="83">
        <f>106000*M196</f>
        <v>396811</v>
      </c>
      <c r="O196" s="84">
        <v>42129</v>
      </c>
      <c r="P196" s="25"/>
    </row>
    <row r="197" spans="1:39" s="26" customFormat="1" ht="73.2" customHeight="1" x14ac:dyDescent="0.25">
      <c r="A197" s="93"/>
      <c r="B197" s="90" t="s">
        <v>361</v>
      </c>
      <c r="C197" s="93"/>
      <c r="D197" s="111" t="s">
        <v>393</v>
      </c>
      <c r="E197" s="78" t="s">
        <v>197</v>
      </c>
      <c r="F197" s="78" t="s">
        <v>362</v>
      </c>
      <c r="G197" s="79">
        <v>5866</v>
      </c>
      <c r="H197" s="80" t="s">
        <v>408</v>
      </c>
      <c r="I197" s="91" t="s">
        <v>132</v>
      </c>
      <c r="J197" s="87"/>
      <c r="K197" s="87"/>
      <c r="L197" s="87">
        <v>183.78</v>
      </c>
      <c r="M197" s="82"/>
      <c r="N197" s="83">
        <f>G197*L197</f>
        <v>1078053.48</v>
      </c>
      <c r="O197" s="84">
        <v>42129</v>
      </c>
      <c r="P197" s="25"/>
    </row>
    <row r="198" spans="1:39" s="71" customFormat="1" ht="72" customHeight="1" x14ac:dyDescent="0.25">
      <c r="A198" s="93"/>
      <c r="B198" s="90" t="s">
        <v>124</v>
      </c>
      <c r="C198" s="93">
        <v>2011</v>
      </c>
      <c r="D198" s="111" t="s">
        <v>29</v>
      </c>
      <c r="E198" s="90" t="s">
        <v>181</v>
      </c>
      <c r="F198" s="90" t="s">
        <v>352</v>
      </c>
      <c r="G198" s="79">
        <v>3831</v>
      </c>
      <c r="H198" s="80" t="s">
        <v>409</v>
      </c>
      <c r="I198" s="91" t="s">
        <v>531</v>
      </c>
      <c r="J198" s="87">
        <v>139</v>
      </c>
      <c r="K198" s="87">
        <v>1592</v>
      </c>
      <c r="L198" s="87">
        <v>183.78</v>
      </c>
      <c r="M198" s="82"/>
      <c r="N198" s="83">
        <f>G198*L198</f>
        <v>704061.18</v>
      </c>
      <c r="O198" s="84">
        <v>42130</v>
      </c>
      <c r="P198" s="25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</row>
    <row r="199" spans="1:39" s="71" customFormat="1" ht="72" customHeight="1" x14ac:dyDescent="0.25">
      <c r="A199" s="93"/>
      <c r="B199" s="90" t="s">
        <v>125</v>
      </c>
      <c r="C199" s="93">
        <v>2011</v>
      </c>
      <c r="D199" s="111" t="s">
        <v>29</v>
      </c>
      <c r="E199" s="90" t="s">
        <v>181</v>
      </c>
      <c r="F199" s="90" t="s">
        <v>352</v>
      </c>
      <c r="G199" s="79">
        <v>4070</v>
      </c>
      <c r="H199" s="80" t="s">
        <v>410</v>
      </c>
      <c r="I199" s="91" t="s">
        <v>531</v>
      </c>
      <c r="J199" s="87">
        <v>140</v>
      </c>
      <c r="K199" s="87">
        <v>1593</v>
      </c>
      <c r="L199" s="87">
        <v>183.78</v>
      </c>
      <c r="M199" s="82"/>
      <c r="N199" s="83">
        <f>G199*L199</f>
        <v>747984.6</v>
      </c>
      <c r="O199" s="84">
        <v>42130</v>
      </c>
      <c r="P199" s="25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</row>
    <row r="200" spans="1:39" s="26" customFormat="1" ht="45" customHeight="1" x14ac:dyDescent="0.25">
      <c r="A200" s="93">
        <v>1135</v>
      </c>
      <c r="B200" s="90" t="s">
        <v>411</v>
      </c>
      <c r="C200" s="93">
        <v>2007</v>
      </c>
      <c r="D200" s="111" t="s">
        <v>29</v>
      </c>
      <c r="E200" s="90">
        <v>2015</v>
      </c>
      <c r="F200" s="90" t="s">
        <v>332</v>
      </c>
      <c r="G200" s="79">
        <f t="shared" ref="G200:G209" si="12">N200/L200</f>
        <v>3149.1720129171154</v>
      </c>
      <c r="H200" s="80" t="s">
        <v>412</v>
      </c>
      <c r="I200" s="91" t="s">
        <v>27</v>
      </c>
      <c r="J200" s="87">
        <v>141</v>
      </c>
      <c r="K200" s="87">
        <v>1594</v>
      </c>
      <c r="L200" s="87">
        <v>185.8</v>
      </c>
      <c r="M200" s="82">
        <v>3.8904000000000001</v>
      </c>
      <c r="N200" s="83">
        <f>150400*M200</f>
        <v>585116.16000000003</v>
      </c>
      <c r="O200" s="84">
        <v>42130</v>
      </c>
      <c r="P200" s="25"/>
    </row>
    <row r="201" spans="1:39" s="26" customFormat="1" ht="37.950000000000003" customHeight="1" x14ac:dyDescent="0.25">
      <c r="A201" s="93">
        <v>1136</v>
      </c>
      <c r="B201" s="90" t="s">
        <v>413</v>
      </c>
      <c r="C201" s="93">
        <v>2012</v>
      </c>
      <c r="D201" s="111" t="s">
        <v>29</v>
      </c>
      <c r="E201" s="90">
        <v>2015</v>
      </c>
      <c r="F201" s="91" t="s">
        <v>145</v>
      </c>
      <c r="G201" s="79">
        <f t="shared" si="12"/>
        <v>3416.1397201291711</v>
      </c>
      <c r="H201" s="80" t="s">
        <v>414</v>
      </c>
      <c r="I201" s="91" t="s">
        <v>27</v>
      </c>
      <c r="J201" s="87">
        <v>142</v>
      </c>
      <c r="K201" s="87">
        <v>1595</v>
      </c>
      <c r="L201" s="87">
        <v>185.8</v>
      </c>
      <c r="M201" s="82">
        <v>3.8904000000000001</v>
      </c>
      <c r="N201" s="83">
        <f>163150*M201</f>
        <v>634718.76</v>
      </c>
      <c r="O201" s="84">
        <v>42130</v>
      </c>
      <c r="P201" s="25"/>
    </row>
    <row r="202" spans="1:39" s="26" customFormat="1" ht="38.4" customHeight="1" x14ac:dyDescent="0.25">
      <c r="A202" s="93"/>
      <c r="B202" s="90" t="s">
        <v>150</v>
      </c>
      <c r="C202" s="93">
        <v>2010</v>
      </c>
      <c r="D202" s="111" t="s">
        <v>29</v>
      </c>
      <c r="E202" s="90" t="s">
        <v>181</v>
      </c>
      <c r="F202" s="78" t="s">
        <v>105</v>
      </c>
      <c r="G202" s="79">
        <f t="shared" si="12"/>
        <v>2537.7636167922496</v>
      </c>
      <c r="H202" s="80" t="s">
        <v>415</v>
      </c>
      <c r="I202" s="91" t="s">
        <v>27</v>
      </c>
      <c r="J202" s="87">
        <v>143</v>
      </c>
      <c r="K202" s="87">
        <v>1596</v>
      </c>
      <c r="L202" s="87">
        <v>185.8</v>
      </c>
      <c r="M202" s="82">
        <v>3.8904000000000001</v>
      </c>
      <c r="N202" s="83">
        <f>121200*M202</f>
        <v>471516.48</v>
      </c>
      <c r="O202" s="84">
        <v>42130</v>
      </c>
      <c r="P202" s="25"/>
    </row>
    <row r="203" spans="1:39" s="26" customFormat="1" ht="37.200000000000003" customHeight="1" x14ac:dyDescent="0.25">
      <c r="A203" s="93">
        <v>1137</v>
      </c>
      <c r="B203" s="90" t="s">
        <v>416</v>
      </c>
      <c r="C203" s="93">
        <v>2004</v>
      </c>
      <c r="D203" s="111" t="s">
        <v>29</v>
      </c>
      <c r="E203" s="90">
        <v>2015</v>
      </c>
      <c r="F203" s="78" t="s">
        <v>105</v>
      </c>
      <c r="G203" s="79">
        <f t="shared" si="12"/>
        <v>2419.4602798708288</v>
      </c>
      <c r="H203" s="80" t="s">
        <v>417</v>
      </c>
      <c r="I203" s="91" t="s">
        <v>27</v>
      </c>
      <c r="J203" s="87">
        <v>144</v>
      </c>
      <c r="K203" s="87">
        <v>1597</v>
      </c>
      <c r="L203" s="87">
        <v>185.8</v>
      </c>
      <c r="M203" s="82">
        <v>3.8904000000000001</v>
      </c>
      <c r="N203" s="83">
        <f>115550*M203</f>
        <v>449535.72000000003</v>
      </c>
      <c r="O203" s="84">
        <v>42130</v>
      </c>
      <c r="P203" s="25"/>
    </row>
    <row r="204" spans="1:39" s="26" customFormat="1" ht="40.950000000000003" customHeight="1" x14ac:dyDescent="0.25">
      <c r="A204" s="93">
        <v>1138</v>
      </c>
      <c r="B204" s="90" t="s">
        <v>418</v>
      </c>
      <c r="C204" s="93">
        <v>2006</v>
      </c>
      <c r="D204" s="111" t="s">
        <v>29</v>
      </c>
      <c r="E204" s="90">
        <v>2015</v>
      </c>
      <c r="F204" s="78" t="s">
        <v>105</v>
      </c>
      <c r="G204" s="79">
        <f t="shared" si="12"/>
        <v>2936.6447793326156</v>
      </c>
      <c r="H204" s="80" t="s">
        <v>419</v>
      </c>
      <c r="I204" s="91" t="s">
        <v>27</v>
      </c>
      <c r="J204" s="87">
        <v>145</v>
      </c>
      <c r="K204" s="87">
        <v>1598</v>
      </c>
      <c r="L204" s="87">
        <v>185.8</v>
      </c>
      <c r="M204" s="82">
        <v>3.8904000000000001</v>
      </c>
      <c r="N204" s="83">
        <f>140250*M204</f>
        <v>545628.6</v>
      </c>
      <c r="O204" s="84">
        <v>42130</v>
      </c>
      <c r="P204" s="25"/>
    </row>
    <row r="205" spans="1:39" s="26" customFormat="1" ht="42" customHeight="1" x14ac:dyDescent="0.25">
      <c r="A205" s="93">
        <v>1139</v>
      </c>
      <c r="B205" s="90" t="s">
        <v>420</v>
      </c>
      <c r="C205" s="93">
        <v>2009</v>
      </c>
      <c r="D205" s="111" t="s">
        <v>29</v>
      </c>
      <c r="E205" s="90">
        <v>2015</v>
      </c>
      <c r="F205" s="78" t="s">
        <v>105</v>
      </c>
      <c r="G205" s="79">
        <f t="shared" si="12"/>
        <v>2886.3920344456405</v>
      </c>
      <c r="H205" s="80" t="s">
        <v>421</v>
      </c>
      <c r="I205" s="91" t="s">
        <v>27</v>
      </c>
      <c r="J205" s="87">
        <v>146</v>
      </c>
      <c r="K205" s="87">
        <v>1599</v>
      </c>
      <c r="L205" s="87">
        <v>185.8</v>
      </c>
      <c r="M205" s="82">
        <v>3.8904000000000001</v>
      </c>
      <c r="N205" s="83">
        <f>137850*M205</f>
        <v>536291.64</v>
      </c>
      <c r="O205" s="84">
        <v>42130</v>
      </c>
      <c r="P205" s="25"/>
    </row>
    <row r="206" spans="1:39" s="26" customFormat="1" ht="37.950000000000003" customHeight="1" x14ac:dyDescent="0.25">
      <c r="A206" s="93">
        <v>1140</v>
      </c>
      <c r="B206" s="90" t="s">
        <v>422</v>
      </c>
      <c r="C206" s="93">
        <v>2013</v>
      </c>
      <c r="D206" s="111" t="s">
        <v>29</v>
      </c>
      <c r="E206" s="90">
        <v>2015</v>
      </c>
      <c r="F206" s="78" t="s">
        <v>105</v>
      </c>
      <c r="G206" s="79">
        <f t="shared" si="12"/>
        <v>2310.5793326157159</v>
      </c>
      <c r="H206" s="80" t="s">
        <v>423</v>
      </c>
      <c r="I206" s="91" t="s">
        <v>27</v>
      </c>
      <c r="J206" s="87">
        <v>147</v>
      </c>
      <c r="K206" s="87">
        <v>1600</v>
      </c>
      <c r="L206" s="87">
        <v>185.8</v>
      </c>
      <c r="M206" s="82">
        <v>3.8904000000000001</v>
      </c>
      <c r="N206" s="83">
        <f>110350*M206</f>
        <v>429305.64</v>
      </c>
      <c r="O206" s="84">
        <v>42130</v>
      </c>
      <c r="P206" s="25"/>
    </row>
    <row r="207" spans="1:39" s="26" customFormat="1" ht="38.4" customHeight="1" x14ac:dyDescent="0.25">
      <c r="A207" s="93">
        <v>1141</v>
      </c>
      <c r="B207" s="90" t="s">
        <v>424</v>
      </c>
      <c r="C207" s="93">
        <v>2012</v>
      </c>
      <c r="D207" s="111" t="s">
        <v>29</v>
      </c>
      <c r="E207" s="90">
        <v>2015</v>
      </c>
      <c r="F207" s="78" t="s">
        <v>105</v>
      </c>
      <c r="G207" s="79">
        <f t="shared" si="12"/>
        <v>2670.724004305705</v>
      </c>
      <c r="H207" s="80" t="s">
        <v>425</v>
      </c>
      <c r="I207" s="91" t="s">
        <v>27</v>
      </c>
      <c r="J207" s="87">
        <v>148</v>
      </c>
      <c r="K207" s="87">
        <v>1601</v>
      </c>
      <c r="L207" s="87">
        <v>185.8</v>
      </c>
      <c r="M207" s="82">
        <v>3.8904000000000001</v>
      </c>
      <c r="N207" s="83">
        <f>127550*M207</f>
        <v>496220.52</v>
      </c>
      <c r="O207" s="84">
        <v>42130</v>
      </c>
      <c r="P207" s="25"/>
    </row>
    <row r="208" spans="1:39" s="26" customFormat="1" ht="37.200000000000003" customHeight="1" x14ac:dyDescent="0.25">
      <c r="A208" s="93">
        <v>1142</v>
      </c>
      <c r="B208" s="90" t="s">
        <v>426</v>
      </c>
      <c r="C208" s="93">
        <v>2009</v>
      </c>
      <c r="D208" s="111" t="s">
        <v>29</v>
      </c>
      <c r="E208" s="90">
        <v>2015</v>
      </c>
      <c r="F208" s="78" t="s">
        <v>105</v>
      </c>
      <c r="G208" s="79">
        <f t="shared" si="12"/>
        <v>2894.7674919268029</v>
      </c>
      <c r="H208" s="80" t="s">
        <v>427</v>
      </c>
      <c r="I208" s="91" t="s">
        <v>27</v>
      </c>
      <c r="J208" s="87">
        <v>149</v>
      </c>
      <c r="K208" s="87">
        <v>1602</v>
      </c>
      <c r="L208" s="87">
        <v>185.8</v>
      </c>
      <c r="M208" s="82">
        <v>3.8904000000000001</v>
      </c>
      <c r="N208" s="83">
        <f>138250*M208</f>
        <v>537847.80000000005</v>
      </c>
      <c r="O208" s="84">
        <v>42130</v>
      </c>
      <c r="P208" s="25"/>
    </row>
    <row r="209" spans="1:39" s="26" customFormat="1" ht="45.6" customHeight="1" x14ac:dyDescent="0.25">
      <c r="A209" s="93">
        <v>1143</v>
      </c>
      <c r="B209" s="90" t="s">
        <v>428</v>
      </c>
      <c r="C209" s="93">
        <v>2013</v>
      </c>
      <c r="D209" s="111" t="s">
        <v>29</v>
      </c>
      <c r="E209" s="90">
        <v>2015</v>
      </c>
      <c r="F209" s="90" t="s">
        <v>332</v>
      </c>
      <c r="G209" s="79">
        <f t="shared" si="12"/>
        <v>2200.6514531754574</v>
      </c>
      <c r="H209" s="80" t="s">
        <v>1000</v>
      </c>
      <c r="I209" s="91" t="s">
        <v>27</v>
      </c>
      <c r="J209" s="87">
        <v>150</v>
      </c>
      <c r="K209" s="87">
        <v>1603</v>
      </c>
      <c r="L209" s="87">
        <v>185.8</v>
      </c>
      <c r="M209" s="82">
        <v>3.8904000000000001</v>
      </c>
      <c r="N209" s="83">
        <f>105100*M209</f>
        <v>408881.04000000004</v>
      </c>
      <c r="O209" s="84">
        <v>42130</v>
      </c>
      <c r="P209" s="25"/>
    </row>
    <row r="210" spans="1:39" s="26" customFormat="1" ht="49.2" customHeight="1" x14ac:dyDescent="0.25">
      <c r="A210" s="93">
        <v>1144</v>
      </c>
      <c r="B210" s="90" t="s">
        <v>430</v>
      </c>
      <c r="C210" s="93">
        <v>2012</v>
      </c>
      <c r="D210" s="111" t="s">
        <v>29</v>
      </c>
      <c r="E210" s="90">
        <v>2015</v>
      </c>
      <c r="F210" s="90" t="s">
        <v>352</v>
      </c>
      <c r="G210" s="79">
        <v>3956</v>
      </c>
      <c r="H210" s="80" t="s">
        <v>431</v>
      </c>
      <c r="I210" s="91" t="s">
        <v>27</v>
      </c>
      <c r="J210" s="87">
        <v>151</v>
      </c>
      <c r="K210" s="87">
        <v>1604</v>
      </c>
      <c r="L210" s="87">
        <v>186.92</v>
      </c>
      <c r="M210" s="82"/>
      <c r="N210" s="83">
        <f>G210*L210</f>
        <v>739455.5199999999</v>
      </c>
      <c r="O210" s="84">
        <v>42132</v>
      </c>
      <c r="P210" s="25"/>
    </row>
    <row r="211" spans="1:39" s="26" customFormat="1" ht="37.200000000000003" customHeight="1" x14ac:dyDescent="0.25">
      <c r="A211" s="93">
        <v>1145</v>
      </c>
      <c r="B211" s="90" t="s">
        <v>432</v>
      </c>
      <c r="C211" s="93">
        <v>2007</v>
      </c>
      <c r="D211" s="111" t="s">
        <v>34</v>
      </c>
      <c r="E211" s="90">
        <v>2015</v>
      </c>
      <c r="F211" s="137" t="s">
        <v>91</v>
      </c>
      <c r="G211" s="79">
        <v>2300</v>
      </c>
      <c r="H211" s="80" t="s">
        <v>433</v>
      </c>
      <c r="I211" s="91" t="s">
        <v>132</v>
      </c>
      <c r="J211" s="87">
        <v>152</v>
      </c>
      <c r="K211" s="87">
        <v>1605</v>
      </c>
      <c r="L211" s="87">
        <v>183.78</v>
      </c>
      <c r="M211" s="82"/>
      <c r="N211" s="83">
        <f>G211*L211</f>
        <v>422694</v>
      </c>
      <c r="O211" s="84">
        <v>42136</v>
      </c>
      <c r="P211" s="25"/>
    </row>
    <row r="212" spans="1:39" s="26" customFormat="1" ht="48" customHeight="1" x14ac:dyDescent="0.25">
      <c r="A212" s="93">
        <v>1146</v>
      </c>
      <c r="B212" s="90" t="s">
        <v>434</v>
      </c>
      <c r="C212" s="93">
        <v>2006</v>
      </c>
      <c r="D212" s="111" t="s">
        <v>29</v>
      </c>
      <c r="E212" s="90">
        <v>2015</v>
      </c>
      <c r="F212" s="78" t="s">
        <v>104</v>
      </c>
      <c r="G212" s="79">
        <f>N212/L212</f>
        <v>1776.2980086114098</v>
      </c>
      <c r="H212" s="80" t="s">
        <v>1075</v>
      </c>
      <c r="I212" s="91" t="s">
        <v>132</v>
      </c>
      <c r="J212" s="87">
        <v>153</v>
      </c>
      <c r="K212" s="87">
        <v>1606</v>
      </c>
      <c r="L212" s="87">
        <v>185.8</v>
      </c>
      <c r="M212" s="82">
        <v>3.8353999999999999</v>
      </c>
      <c r="N212" s="83">
        <f>86050*M212</f>
        <v>330036.17</v>
      </c>
      <c r="O212" s="84">
        <v>42136</v>
      </c>
      <c r="P212" s="25"/>
    </row>
    <row r="213" spans="1:39" s="26" customFormat="1" ht="79.95" customHeight="1" x14ac:dyDescent="0.25">
      <c r="A213" s="173">
        <v>1147</v>
      </c>
      <c r="B213" s="175" t="s">
        <v>435</v>
      </c>
      <c r="C213" s="173">
        <v>2002</v>
      </c>
      <c r="D213" s="184" t="s">
        <v>436</v>
      </c>
      <c r="E213" s="175">
        <v>2015</v>
      </c>
      <c r="F213" s="175" t="s">
        <v>437</v>
      </c>
      <c r="G213" s="79">
        <v>9000</v>
      </c>
      <c r="H213" s="80" t="s">
        <v>47</v>
      </c>
      <c r="I213" s="161" t="s">
        <v>132</v>
      </c>
      <c r="J213" s="157">
        <v>154</v>
      </c>
      <c r="K213" s="157">
        <v>1607</v>
      </c>
      <c r="L213" s="87">
        <v>183.78</v>
      </c>
      <c r="M213" s="82"/>
      <c r="N213" s="83">
        <f t="shared" ref="N213:N218" si="13">G213*L213</f>
        <v>1654020</v>
      </c>
      <c r="O213" s="84">
        <v>42136</v>
      </c>
      <c r="P213" s="25"/>
    </row>
    <row r="214" spans="1:39" s="26" customFormat="1" ht="38.4" customHeight="1" x14ac:dyDescent="0.25">
      <c r="A214" s="190"/>
      <c r="B214" s="181"/>
      <c r="C214" s="179"/>
      <c r="D214" s="182"/>
      <c r="E214" s="181"/>
      <c r="F214" s="181"/>
      <c r="G214" s="79">
        <v>9000</v>
      </c>
      <c r="H214" s="80" t="s">
        <v>47</v>
      </c>
      <c r="I214" s="163"/>
      <c r="J214" s="165"/>
      <c r="K214" s="165"/>
      <c r="L214" s="87">
        <v>183.78</v>
      </c>
      <c r="M214" s="82"/>
      <c r="N214" s="83">
        <f t="shared" si="13"/>
        <v>1654020</v>
      </c>
      <c r="O214" s="84">
        <v>42143</v>
      </c>
      <c r="P214" s="25"/>
    </row>
    <row r="215" spans="1:39" s="26" customFormat="1" ht="38.4" customHeight="1" x14ac:dyDescent="0.25">
      <c r="A215" s="180"/>
      <c r="B215" s="178"/>
      <c r="C215" s="180"/>
      <c r="D215" s="178"/>
      <c r="E215" s="178"/>
      <c r="F215" s="178"/>
      <c r="G215" s="79">
        <v>9000</v>
      </c>
      <c r="H215" s="80" t="s">
        <v>47</v>
      </c>
      <c r="I215" s="164"/>
      <c r="J215" s="151"/>
      <c r="K215" s="151"/>
      <c r="L215" s="87">
        <v>183.78</v>
      </c>
      <c r="M215" s="82"/>
      <c r="N215" s="83">
        <f t="shared" si="13"/>
        <v>1654020</v>
      </c>
      <c r="O215" s="84">
        <v>42145</v>
      </c>
      <c r="P215" s="25"/>
    </row>
    <row r="216" spans="1:39" s="26" customFormat="1" ht="35.4" customHeight="1" x14ac:dyDescent="0.25">
      <c r="A216" s="93">
        <v>1148</v>
      </c>
      <c r="B216" s="90" t="s">
        <v>438</v>
      </c>
      <c r="C216" s="93">
        <v>2003</v>
      </c>
      <c r="D216" s="111" t="s">
        <v>29</v>
      </c>
      <c r="E216" s="90">
        <v>2015</v>
      </c>
      <c r="F216" s="90" t="s">
        <v>439</v>
      </c>
      <c r="G216" s="79">
        <v>3609</v>
      </c>
      <c r="H216" s="80" t="s">
        <v>440</v>
      </c>
      <c r="I216" s="91" t="s">
        <v>27</v>
      </c>
      <c r="J216" s="87">
        <v>155</v>
      </c>
      <c r="K216" s="87">
        <v>1608</v>
      </c>
      <c r="L216" s="87">
        <v>186.92</v>
      </c>
      <c r="M216" s="82"/>
      <c r="N216" s="83">
        <f t="shared" si="13"/>
        <v>674594.27999999991</v>
      </c>
      <c r="O216" s="84">
        <v>42136</v>
      </c>
      <c r="P216" s="25"/>
    </row>
    <row r="217" spans="1:39" s="71" customFormat="1" ht="74.400000000000006" customHeight="1" x14ac:dyDescent="0.25">
      <c r="A217" s="173">
        <v>1149</v>
      </c>
      <c r="B217" s="175" t="s">
        <v>441</v>
      </c>
      <c r="C217" s="173">
        <v>2012</v>
      </c>
      <c r="D217" s="184" t="s">
        <v>442</v>
      </c>
      <c r="E217" s="175">
        <v>2015</v>
      </c>
      <c r="F217" s="175" t="s">
        <v>102</v>
      </c>
      <c r="G217" s="79">
        <v>9000</v>
      </c>
      <c r="H217" s="80" t="s">
        <v>47</v>
      </c>
      <c r="I217" s="161" t="s">
        <v>531</v>
      </c>
      <c r="J217" s="157">
        <v>156</v>
      </c>
      <c r="K217" s="157">
        <v>1609</v>
      </c>
      <c r="L217" s="87">
        <v>183.78</v>
      </c>
      <c r="M217" s="82"/>
      <c r="N217" s="83">
        <f t="shared" si="13"/>
        <v>1654020</v>
      </c>
      <c r="O217" s="84">
        <v>42138</v>
      </c>
      <c r="P217" s="25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1:39" s="71" customFormat="1" ht="27" customHeight="1" x14ac:dyDescent="0.25">
      <c r="A218" s="180"/>
      <c r="B218" s="176"/>
      <c r="C218" s="174"/>
      <c r="D218" s="178"/>
      <c r="E218" s="176"/>
      <c r="F218" s="176"/>
      <c r="G218" s="79">
        <v>3800</v>
      </c>
      <c r="H218" s="80" t="s">
        <v>41</v>
      </c>
      <c r="I218" s="164"/>
      <c r="J218" s="151"/>
      <c r="K218" s="151"/>
      <c r="L218" s="87">
        <v>183.78</v>
      </c>
      <c r="M218" s="82"/>
      <c r="N218" s="83">
        <f t="shared" si="13"/>
        <v>698364</v>
      </c>
      <c r="O218" s="84">
        <v>42143</v>
      </c>
      <c r="P218" s="25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</row>
    <row r="219" spans="1:39" s="26" customFormat="1" ht="44.4" customHeight="1" x14ac:dyDescent="0.25">
      <c r="A219" s="93"/>
      <c r="B219" s="90" t="s">
        <v>302</v>
      </c>
      <c r="C219" s="93">
        <v>2014</v>
      </c>
      <c r="D219" s="78" t="s">
        <v>59</v>
      </c>
      <c r="E219" s="90" t="s">
        <v>197</v>
      </c>
      <c r="F219" s="78" t="s">
        <v>155</v>
      </c>
      <c r="G219" s="79">
        <f>N219/L219</f>
        <v>3988.2616570075347</v>
      </c>
      <c r="H219" s="80" t="s">
        <v>443</v>
      </c>
      <c r="I219" s="91" t="s">
        <v>132</v>
      </c>
      <c r="J219" s="87"/>
      <c r="K219" s="87"/>
      <c r="L219" s="87">
        <v>185.8</v>
      </c>
      <c r="M219" s="82">
        <v>3.9096000000000002</v>
      </c>
      <c r="N219" s="83">
        <f>189538.32*M219</f>
        <v>741019.01587200002</v>
      </c>
      <c r="O219" s="84">
        <v>42138</v>
      </c>
      <c r="P219" s="25"/>
    </row>
    <row r="220" spans="1:39" s="71" customFormat="1" ht="71.400000000000006" customHeight="1" x14ac:dyDescent="0.25">
      <c r="A220" s="93"/>
      <c r="B220" s="90" t="s">
        <v>360</v>
      </c>
      <c r="C220" s="93">
        <v>2012</v>
      </c>
      <c r="D220" s="111" t="s">
        <v>372</v>
      </c>
      <c r="E220" s="90" t="s">
        <v>197</v>
      </c>
      <c r="F220" s="78" t="s">
        <v>102</v>
      </c>
      <c r="G220" s="79">
        <v>3000</v>
      </c>
      <c r="H220" s="80" t="s">
        <v>81</v>
      </c>
      <c r="I220" s="91" t="s">
        <v>531</v>
      </c>
      <c r="J220" s="87"/>
      <c r="K220" s="87"/>
      <c r="L220" s="87">
        <v>183.78</v>
      </c>
      <c r="M220" s="82"/>
      <c r="N220" s="83">
        <f>G220*L220</f>
        <v>551340</v>
      </c>
      <c r="O220" s="84">
        <v>42138</v>
      </c>
      <c r="P220" s="25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</row>
    <row r="221" spans="1:39" s="26" customFormat="1" ht="77.400000000000006" customHeight="1" x14ac:dyDescent="0.25">
      <c r="A221" s="93">
        <v>1150</v>
      </c>
      <c r="B221" s="90" t="s">
        <v>444</v>
      </c>
      <c r="C221" s="93">
        <v>2013</v>
      </c>
      <c r="D221" s="113" t="s">
        <v>445</v>
      </c>
      <c r="E221" s="90">
        <v>2015</v>
      </c>
      <c r="F221" s="101" t="s">
        <v>91</v>
      </c>
      <c r="G221" s="79">
        <v>7500</v>
      </c>
      <c r="H221" s="80" t="s">
        <v>990</v>
      </c>
      <c r="I221" s="91" t="s">
        <v>132</v>
      </c>
      <c r="J221" s="87">
        <v>157</v>
      </c>
      <c r="K221" s="87">
        <v>1610</v>
      </c>
      <c r="L221" s="87">
        <v>183.78</v>
      </c>
      <c r="M221" s="82"/>
      <c r="N221" s="83">
        <f>G221*L221</f>
        <v>1378350</v>
      </c>
      <c r="O221" s="84">
        <v>42138</v>
      </c>
      <c r="P221" s="25"/>
    </row>
    <row r="222" spans="1:39" s="26" customFormat="1" ht="46.2" customHeight="1" x14ac:dyDescent="0.25">
      <c r="A222" s="93"/>
      <c r="B222" s="90" t="s">
        <v>446</v>
      </c>
      <c r="C222" s="93">
        <v>2010</v>
      </c>
      <c r="D222" s="113" t="s">
        <v>447</v>
      </c>
      <c r="E222" s="90" t="s">
        <v>195</v>
      </c>
      <c r="F222" s="101" t="s">
        <v>91</v>
      </c>
      <c r="G222" s="79">
        <v>10200</v>
      </c>
      <c r="H222" s="80" t="s">
        <v>1060</v>
      </c>
      <c r="I222" s="91" t="s">
        <v>132</v>
      </c>
      <c r="J222" s="87">
        <v>158</v>
      </c>
      <c r="K222" s="87">
        <v>1611</v>
      </c>
      <c r="L222" s="87">
        <v>183.78</v>
      </c>
      <c r="M222" s="82"/>
      <c r="N222" s="83">
        <f>G222*L222</f>
        <v>1874556</v>
      </c>
      <c r="O222" s="84">
        <v>42138</v>
      </c>
      <c r="P222" s="25"/>
    </row>
    <row r="223" spans="1:39" s="71" customFormat="1" ht="97.2" customHeight="1" x14ac:dyDescent="0.25">
      <c r="A223" s="93"/>
      <c r="B223" s="90" t="s">
        <v>82</v>
      </c>
      <c r="C223" s="93">
        <v>2011</v>
      </c>
      <c r="D223" s="113" t="s">
        <v>448</v>
      </c>
      <c r="E223" s="90" t="s">
        <v>449</v>
      </c>
      <c r="F223" s="90" t="s">
        <v>452</v>
      </c>
      <c r="G223" s="79">
        <f>N223/L223</f>
        <v>3563.4594187298167</v>
      </c>
      <c r="H223" s="80" t="s">
        <v>450</v>
      </c>
      <c r="I223" s="91" t="s">
        <v>132</v>
      </c>
      <c r="J223" s="87">
        <v>159</v>
      </c>
      <c r="K223" s="87">
        <v>1612</v>
      </c>
      <c r="L223" s="87">
        <v>185.8</v>
      </c>
      <c r="M223" s="82">
        <v>3.9096000000000002</v>
      </c>
      <c r="N223" s="83">
        <f>169350*M223</f>
        <v>662090.76</v>
      </c>
      <c r="O223" s="84">
        <v>42138</v>
      </c>
      <c r="P223" s="25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</row>
    <row r="224" spans="1:39" s="71" customFormat="1" ht="39.6" customHeight="1" x14ac:dyDescent="0.25">
      <c r="A224" s="173"/>
      <c r="B224" s="175" t="s">
        <v>281</v>
      </c>
      <c r="C224" s="173">
        <v>2009</v>
      </c>
      <c r="D224" s="177" t="s">
        <v>451</v>
      </c>
      <c r="E224" s="175" t="s">
        <v>197</v>
      </c>
      <c r="F224" s="175" t="s">
        <v>102</v>
      </c>
      <c r="G224" s="79">
        <v>9000</v>
      </c>
      <c r="H224" s="80" t="s">
        <v>47</v>
      </c>
      <c r="I224" s="161" t="s">
        <v>531</v>
      </c>
      <c r="J224" s="157"/>
      <c r="K224" s="157"/>
      <c r="L224" s="87">
        <v>183.78</v>
      </c>
      <c r="M224" s="82"/>
      <c r="N224" s="83">
        <f t="shared" ref="N224:N230" si="14">G224*L224</f>
        <v>1654020</v>
      </c>
      <c r="O224" s="84">
        <v>42139</v>
      </c>
      <c r="P224" s="25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</row>
    <row r="225" spans="1:39" s="71" customFormat="1" ht="39" customHeight="1" x14ac:dyDescent="0.25">
      <c r="A225" s="180"/>
      <c r="B225" s="176"/>
      <c r="C225" s="174"/>
      <c r="D225" s="187"/>
      <c r="E225" s="176"/>
      <c r="F225" s="178"/>
      <c r="G225" s="79">
        <v>3150</v>
      </c>
      <c r="H225" s="80" t="s">
        <v>475</v>
      </c>
      <c r="I225" s="164"/>
      <c r="J225" s="151"/>
      <c r="K225" s="151"/>
      <c r="L225" s="87">
        <v>183.78</v>
      </c>
      <c r="M225" s="82"/>
      <c r="N225" s="83">
        <f t="shared" si="14"/>
        <v>578907</v>
      </c>
      <c r="O225" s="84">
        <v>42143</v>
      </c>
      <c r="P225" s="25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</row>
    <row r="226" spans="1:39" s="26" customFormat="1" ht="33.6" customHeight="1" x14ac:dyDescent="0.25">
      <c r="A226" s="93">
        <v>1151</v>
      </c>
      <c r="B226" s="90" t="s">
        <v>453</v>
      </c>
      <c r="C226" s="93">
        <v>2013</v>
      </c>
      <c r="D226" s="118" t="s">
        <v>454</v>
      </c>
      <c r="E226" s="90">
        <v>2015</v>
      </c>
      <c r="F226" s="90" t="s">
        <v>376</v>
      </c>
      <c r="G226" s="79">
        <v>2000</v>
      </c>
      <c r="H226" s="80" t="s">
        <v>79</v>
      </c>
      <c r="I226" s="91" t="s">
        <v>132</v>
      </c>
      <c r="J226" s="87">
        <v>160</v>
      </c>
      <c r="K226" s="87">
        <v>1613</v>
      </c>
      <c r="L226" s="87">
        <v>183.78</v>
      </c>
      <c r="M226" s="82"/>
      <c r="N226" s="83">
        <f t="shared" si="14"/>
        <v>367560</v>
      </c>
      <c r="O226" s="84">
        <v>42139</v>
      </c>
      <c r="P226" s="25"/>
    </row>
    <row r="227" spans="1:39" s="26" customFormat="1" ht="56.4" customHeight="1" x14ac:dyDescent="0.25">
      <c r="A227" s="93">
        <v>1152</v>
      </c>
      <c r="B227" s="90" t="s">
        <v>455</v>
      </c>
      <c r="C227" s="93">
        <v>2012</v>
      </c>
      <c r="D227" s="114" t="s">
        <v>29</v>
      </c>
      <c r="E227" s="90">
        <v>2015</v>
      </c>
      <c r="F227" s="90" t="s">
        <v>456</v>
      </c>
      <c r="G227" s="79">
        <v>3998</v>
      </c>
      <c r="H227" s="80" t="s">
        <v>231</v>
      </c>
      <c r="I227" s="91" t="s">
        <v>27</v>
      </c>
      <c r="J227" s="87">
        <v>161</v>
      </c>
      <c r="K227" s="87">
        <v>1614</v>
      </c>
      <c r="L227" s="87">
        <v>186.92</v>
      </c>
      <c r="M227" s="82"/>
      <c r="N227" s="83">
        <f t="shared" si="14"/>
        <v>747306.15999999992</v>
      </c>
      <c r="O227" s="84">
        <v>42139</v>
      </c>
      <c r="P227" s="25"/>
    </row>
    <row r="228" spans="1:39" s="24" customFormat="1" ht="47.4" customHeight="1" x14ac:dyDescent="0.25">
      <c r="A228" s="93">
        <v>1153</v>
      </c>
      <c r="B228" s="90" t="s">
        <v>1113</v>
      </c>
      <c r="C228" s="93">
        <v>2009</v>
      </c>
      <c r="D228" s="114" t="s">
        <v>29</v>
      </c>
      <c r="E228" s="90">
        <v>2015</v>
      </c>
      <c r="F228" s="90" t="s">
        <v>457</v>
      </c>
      <c r="G228" s="79">
        <v>3998</v>
      </c>
      <c r="H228" s="80" t="s">
        <v>231</v>
      </c>
      <c r="I228" s="91" t="s">
        <v>27</v>
      </c>
      <c r="J228" s="87">
        <v>162</v>
      </c>
      <c r="K228" s="87">
        <v>1615</v>
      </c>
      <c r="L228" s="87">
        <v>186.92</v>
      </c>
      <c r="M228" s="82"/>
      <c r="N228" s="83">
        <f t="shared" si="14"/>
        <v>747306.15999999992</v>
      </c>
      <c r="O228" s="84">
        <v>42139</v>
      </c>
      <c r="P228" s="25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</row>
    <row r="229" spans="1:39" s="26" customFormat="1" ht="48" customHeight="1" x14ac:dyDescent="0.25">
      <c r="A229" s="93">
        <v>1154</v>
      </c>
      <c r="B229" s="90" t="s">
        <v>458</v>
      </c>
      <c r="C229" s="93">
        <v>2011</v>
      </c>
      <c r="D229" s="114" t="s">
        <v>29</v>
      </c>
      <c r="E229" s="90">
        <v>2015</v>
      </c>
      <c r="F229" s="90" t="s">
        <v>457</v>
      </c>
      <c r="G229" s="79">
        <v>3998</v>
      </c>
      <c r="H229" s="80" t="s">
        <v>231</v>
      </c>
      <c r="I229" s="91" t="s">
        <v>27</v>
      </c>
      <c r="J229" s="87">
        <v>163</v>
      </c>
      <c r="K229" s="87">
        <v>1616</v>
      </c>
      <c r="L229" s="87">
        <v>186.92</v>
      </c>
      <c r="M229" s="82"/>
      <c r="N229" s="83">
        <f t="shared" si="14"/>
        <v>747306.15999999992</v>
      </c>
      <c r="O229" s="84">
        <v>42139</v>
      </c>
      <c r="P229" s="25"/>
    </row>
    <row r="230" spans="1:39" s="26" customFormat="1" ht="45.6" customHeight="1" x14ac:dyDescent="0.25">
      <c r="A230" s="93">
        <v>1155</v>
      </c>
      <c r="B230" s="90" t="s">
        <v>459</v>
      </c>
      <c r="C230" s="93">
        <v>2009</v>
      </c>
      <c r="D230" s="114" t="s">
        <v>29</v>
      </c>
      <c r="E230" s="90">
        <v>2015</v>
      </c>
      <c r="F230" s="90" t="s">
        <v>457</v>
      </c>
      <c r="G230" s="79">
        <v>3998</v>
      </c>
      <c r="H230" s="80" t="s">
        <v>231</v>
      </c>
      <c r="I230" s="91" t="s">
        <v>27</v>
      </c>
      <c r="J230" s="87">
        <v>164</v>
      </c>
      <c r="K230" s="87">
        <v>1617</v>
      </c>
      <c r="L230" s="87">
        <v>186.92</v>
      </c>
      <c r="M230" s="82"/>
      <c r="N230" s="83">
        <f t="shared" si="14"/>
        <v>747306.15999999992</v>
      </c>
      <c r="O230" s="84">
        <v>42139</v>
      </c>
      <c r="P230" s="25"/>
    </row>
    <row r="231" spans="1:39" s="26" customFormat="1" ht="41.4" customHeight="1" x14ac:dyDescent="0.25">
      <c r="A231" s="93">
        <v>1156</v>
      </c>
      <c r="B231" s="90" t="s">
        <v>460</v>
      </c>
      <c r="C231" s="93">
        <v>2008</v>
      </c>
      <c r="D231" s="114" t="s">
        <v>29</v>
      </c>
      <c r="E231" s="90">
        <v>2015</v>
      </c>
      <c r="F231" s="78" t="s">
        <v>105</v>
      </c>
      <c r="G231" s="79">
        <f t="shared" ref="G231:G236" si="15">N231/L231</f>
        <v>2654.5115715823463</v>
      </c>
      <c r="H231" s="80" t="s">
        <v>461</v>
      </c>
      <c r="I231" s="91" t="s">
        <v>27</v>
      </c>
      <c r="J231" s="87">
        <v>165</v>
      </c>
      <c r="K231" s="87">
        <v>1618</v>
      </c>
      <c r="L231" s="87">
        <v>185.8</v>
      </c>
      <c r="M231" s="82">
        <v>3.9066000000000001</v>
      </c>
      <c r="N231" s="83">
        <f>126250*M231</f>
        <v>493208.25</v>
      </c>
      <c r="O231" s="84">
        <v>42139</v>
      </c>
      <c r="P231" s="25"/>
    </row>
    <row r="232" spans="1:39" s="26" customFormat="1" ht="45" customHeight="1" x14ac:dyDescent="0.25">
      <c r="A232" s="93">
        <v>1157</v>
      </c>
      <c r="B232" s="90" t="s">
        <v>462</v>
      </c>
      <c r="C232" s="93">
        <v>2013</v>
      </c>
      <c r="D232" s="114" t="s">
        <v>29</v>
      </c>
      <c r="E232" s="90">
        <v>2015</v>
      </c>
      <c r="F232" s="90" t="s">
        <v>332</v>
      </c>
      <c r="G232" s="79">
        <f t="shared" si="15"/>
        <v>2626.1266953713671</v>
      </c>
      <c r="H232" s="80" t="s">
        <v>463</v>
      </c>
      <c r="I232" s="91" t="s">
        <v>27</v>
      </c>
      <c r="J232" s="87">
        <v>166</v>
      </c>
      <c r="K232" s="87">
        <v>1619</v>
      </c>
      <c r="L232" s="87">
        <v>185.8</v>
      </c>
      <c r="M232" s="82">
        <v>3.9066000000000001</v>
      </c>
      <c r="N232" s="83">
        <f>124900*M232</f>
        <v>487934.34</v>
      </c>
      <c r="O232" s="84">
        <v>42139</v>
      </c>
      <c r="P232" s="25"/>
    </row>
    <row r="233" spans="1:39" s="26" customFormat="1" ht="35.4" customHeight="1" x14ac:dyDescent="0.25">
      <c r="A233" s="93">
        <v>1158</v>
      </c>
      <c r="B233" s="90" t="s">
        <v>464</v>
      </c>
      <c r="C233" s="93">
        <v>2009</v>
      </c>
      <c r="D233" s="114" t="s">
        <v>29</v>
      </c>
      <c r="E233" s="90">
        <v>2015</v>
      </c>
      <c r="F233" s="90" t="s">
        <v>391</v>
      </c>
      <c r="G233" s="79">
        <f t="shared" si="15"/>
        <v>2028.9930032292789</v>
      </c>
      <c r="H233" s="80" t="s">
        <v>465</v>
      </c>
      <c r="I233" s="91" t="s">
        <v>27</v>
      </c>
      <c r="J233" s="87">
        <v>167</v>
      </c>
      <c r="K233" s="87">
        <v>1620</v>
      </c>
      <c r="L233" s="87">
        <v>185.8</v>
      </c>
      <c r="M233" s="82">
        <v>3.9066000000000001</v>
      </c>
      <c r="N233" s="83">
        <f>96500*M233</f>
        <v>376986.9</v>
      </c>
      <c r="O233" s="84">
        <v>42139</v>
      </c>
      <c r="P233" s="25"/>
    </row>
    <row r="234" spans="1:39" s="26" customFormat="1" ht="49.2" customHeight="1" x14ac:dyDescent="0.25">
      <c r="A234" s="93">
        <v>1159</v>
      </c>
      <c r="B234" s="90" t="s">
        <v>466</v>
      </c>
      <c r="C234" s="93">
        <v>2011</v>
      </c>
      <c r="D234" s="114" t="s">
        <v>29</v>
      </c>
      <c r="E234" s="90">
        <v>2015</v>
      </c>
      <c r="F234" s="90" t="s">
        <v>332</v>
      </c>
      <c r="G234" s="79">
        <f t="shared" si="15"/>
        <v>3086.5924650161464</v>
      </c>
      <c r="H234" s="80" t="s">
        <v>467</v>
      </c>
      <c r="I234" s="91" t="s">
        <v>27</v>
      </c>
      <c r="J234" s="87">
        <v>168</v>
      </c>
      <c r="K234" s="87">
        <v>1621</v>
      </c>
      <c r="L234" s="87">
        <v>185.8</v>
      </c>
      <c r="M234" s="82">
        <v>3.9066000000000001</v>
      </c>
      <c r="N234" s="83">
        <f>146800*M234</f>
        <v>573488.88</v>
      </c>
      <c r="O234" s="84">
        <v>42139</v>
      </c>
      <c r="P234" s="25"/>
    </row>
    <row r="235" spans="1:39" s="26" customFormat="1" ht="44.4" customHeight="1" x14ac:dyDescent="0.25">
      <c r="A235" s="93">
        <v>1160</v>
      </c>
      <c r="B235" s="90" t="s">
        <v>468</v>
      </c>
      <c r="C235" s="93">
        <v>2011</v>
      </c>
      <c r="D235" s="114" t="s">
        <v>29</v>
      </c>
      <c r="E235" s="90">
        <v>2015</v>
      </c>
      <c r="F235" s="90" t="s">
        <v>469</v>
      </c>
      <c r="G235" s="79">
        <f t="shared" si="15"/>
        <v>3796.9537136706135</v>
      </c>
      <c r="H235" s="80" t="s">
        <v>354</v>
      </c>
      <c r="I235" s="91" t="s">
        <v>27</v>
      </c>
      <c r="J235" s="87">
        <v>169</v>
      </c>
      <c r="K235" s="87">
        <v>1622</v>
      </c>
      <c r="L235" s="87">
        <v>185.8</v>
      </c>
      <c r="M235" s="82">
        <v>30.54</v>
      </c>
      <c r="N235" s="83">
        <f>23100*M235</f>
        <v>705474</v>
      </c>
      <c r="O235" s="84">
        <v>42139</v>
      </c>
      <c r="P235" s="25"/>
    </row>
    <row r="236" spans="1:39" s="26" customFormat="1" ht="48" customHeight="1" x14ac:dyDescent="0.25">
      <c r="A236" s="93">
        <v>1161</v>
      </c>
      <c r="B236" s="90" t="s">
        <v>470</v>
      </c>
      <c r="C236" s="93">
        <v>2013</v>
      </c>
      <c r="D236" s="114" t="s">
        <v>29</v>
      </c>
      <c r="E236" s="90">
        <v>2015</v>
      </c>
      <c r="F236" s="90" t="s">
        <v>469</v>
      </c>
      <c r="G236" s="79">
        <f t="shared" si="15"/>
        <v>3796.9537136706135</v>
      </c>
      <c r="H236" s="80" t="s">
        <v>354</v>
      </c>
      <c r="I236" s="91" t="s">
        <v>27</v>
      </c>
      <c r="J236" s="87">
        <v>170</v>
      </c>
      <c r="K236" s="87">
        <v>1623</v>
      </c>
      <c r="L236" s="87">
        <v>185.8</v>
      </c>
      <c r="M236" s="82">
        <v>30.54</v>
      </c>
      <c r="N236" s="83">
        <f>23100*M236</f>
        <v>705474</v>
      </c>
      <c r="O236" s="84">
        <v>42139</v>
      </c>
      <c r="P236" s="25"/>
    </row>
    <row r="237" spans="1:39" s="26" customFormat="1" ht="59.4" customHeight="1" x14ac:dyDescent="0.25">
      <c r="A237" s="93">
        <v>1162</v>
      </c>
      <c r="B237" s="90" t="s">
        <v>471</v>
      </c>
      <c r="C237" s="93">
        <v>2002</v>
      </c>
      <c r="D237" s="114" t="s">
        <v>29</v>
      </c>
      <c r="E237" s="90">
        <v>2015</v>
      </c>
      <c r="F237" s="90" t="s">
        <v>456</v>
      </c>
      <c r="G237" s="79">
        <v>3998</v>
      </c>
      <c r="H237" s="80" t="s">
        <v>231</v>
      </c>
      <c r="I237" s="91" t="s">
        <v>27</v>
      </c>
      <c r="J237" s="87">
        <v>171</v>
      </c>
      <c r="K237" s="87">
        <v>1624</v>
      </c>
      <c r="L237" s="87">
        <v>186.92</v>
      </c>
      <c r="M237" s="82"/>
      <c r="N237" s="83">
        <f t="shared" ref="N237:N242" si="16">G237*L237</f>
        <v>747306.15999999992</v>
      </c>
      <c r="O237" s="84">
        <v>42142</v>
      </c>
      <c r="P237" s="25"/>
    </row>
    <row r="238" spans="1:39" s="26" customFormat="1" ht="48" customHeight="1" x14ac:dyDescent="0.25">
      <c r="A238" s="93">
        <v>1163</v>
      </c>
      <c r="B238" s="90" t="s">
        <v>472</v>
      </c>
      <c r="C238" s="93">
        <v>2002</v>
      </c>
      <c r="D238" s="114" t="s">
        <v>29</v>
      </c>
      <c r="E238" s="90">
        <v>2015</v>
      </c>
      <c r="F238" s="90" t="s">
        <v>457</v>
      </c>
      <c r="G238" s="79">
        <v>3998</v>
      </c>
      <c r="H238" s="80" t="s">
        <v>231</v>
      </c>
      <c r="I238" s="91" t="s">
        <v>27</v>
      </c>
      <c r="J238" s="87">
        <v>172</v>
      </c>
      <c r="K238" s="87">
        <v>1625</v>
      </c>
      <c r="L238" s="87">
        <v>186.92</v>
      </c>
      <c r="M238" s="82"/>
      <c r="N238" s="83">
        <f t="shared" si="16"/>
        <v>747306.15999999992</v>
      </c>
      <c r="O238" s="84">
        <v>42142</v>
      </c>
      <c r="P238" s="25"/>
    </row>
    <row r="239" spans="1:39" s="26" customFormat="1" ht="60" customHeight="1" x14ac:dyDescent="0.25">
      <c r="A239" s="93">
        <v>1164</v>
      </c>
      <c r="B239" s="90" t="s">
        <v>473</v>
      </c>
      <c r="C239" s="93">
        <v>2009</v>
      </c>
      <c r="D239" s="114" t="s">
        <v>29</v>
      </c>
      <c r="E239" s="90">
        <v>2015</v>
      </c>
      <c r="F239" s="90" t="s">
        <v>456</v>
      </c>
      <c r="G239" s="79">
        <v>3998</v>
      </c>
      <c r="H239" s="80" t="s">
        <v>231</v>
      </c>
      <c r="I239" s="91" t="s">
        <v>27</v>
      </c>
      <c r="J239" s="87">
        <v>173</v>
      </c>
      <c r="K239" s="87">
        <v>1626</v>
      </c>
      <c r="L239" s="87">
        <v>186.92</v>
      </c>
      <c r="M239" s="82"/>
      <c r="N239" s="83">
        <f t="shared" si="16"/>
        <v>747306.15999999992</v>
      </c>
      <c r="O239" s="84">
        <v>42142</v>
      </c>
      <c r="P239" s="25"/>
    </row>
    <row r="240" spans="1:39" s="26" customFormat="1" ht="46.2" customHeight="1" x14ac:dyDescent="0.25">
      <c r="A240" s="93">
        <v>1165</v>
      </c>
      <c r="B240" s="90" t="s">
        <v>474</v>
      </c>
      <c r="C240" s="93">
        <v>2010</v>
      </c>
      <c r="D240" s="114" t="s">
        <v>29</v>
      </c>
      <c r="E240" s="90">
        <v>2015</v>
      </c>
      <c r="F240" s="90" t="s">
        <v>457</v>
      </c>
      <c r="G240" s="79">
        <v>3998</v>
      </c>
      <c r="H240" s="80" t="s">
        <v>231</v>
      </c>
      <c r="I240" s="91" t="s">
        <v>27</v>
      </c>
      <c r="J240" s="87">
        <v>174</v>
      </c>
      <c r="K240" s="87">
        <v>1627</v>
      </c>
      <c r="L240" s="87">
        <v>186.92</v>
      </c>
      <c r="M240" s="82"/>
      <c r="N240" s="83">
        <f t="shared" si="16"/>
        <v>747306.15999999992</v>
      </c>
      <c r="O240" s="84">
        <v>42142</v>
      </c>
      <c r="P240" s="25"/>
    </row>
    <row r="241" spans="1:39" s="26" customFormat="1" ht="43.95" customHeight="1" x14ac:dyDescent="0.25">
      <c r="A241" s="173">
        <v>1166</v>
      </c>
      <c r="B241" s="175" t="s">
        <v>476</v>
      </c>
      <c r="C241" s="173">
        <v>2012</v>
      </c>
      <c r="D241" s="177" t="s">
        <v>477</v>
      </c>
      <c r="E241" s="175">
        <v>2015</v>
      </c>
      <c r="F241" s="175" t="s">
        <v>437</v>
      </c>
      <c r="G241" s="79">
        <v>9000</v>
      </c>
      <c r="H241" s="80" t="s">
        <v>47</v>
      </c>
      <c r="I241" s="161" t="s">
        <v>132</v>
      </c>
      <c r="J241" s="157">
        <v>175</v>
      </c>
      <c r="K241" s="157">
        <v>1628</v>
      </c>
      <c r="L241" s="87">
        <v>183.78</v>
      </c>
      <c r="M241" s="82"/>
      <c r="N241" s="83">
        <f t="shared" si="16"/>
        <v>1654020</v>
      </c>
      <c r="O241" s="84">
        <v>42143</v>
      </c>
      <c r="P241" s="25"/>
    </row>
    <row r="242" spans="1:39" s="26" customFormat="1" ht="48.6" customHeight="1" x14ac:dyDescent="0.25">
      <c r="A242" s="174"/>
      <c r="B242" s="176"/>
      <c r="C242" s="174"/>
      <c r="D242" s="187"/>
      <c r="E242" s="176"/>
      <c r="F242" s="178"/>
      <c r="G242" s="79">
        <v>7000</v>
      </c>
      <c r="H242" s="80" t="s">
        <v>78</v>
      </c>
      <c r="I242" s="162"/>
      <c r="J242" s="158"/>
      <c r="K242" s="158"/>
      <c r="L242" s="87">
        <v>183.78</v>
      </c>
      <c r="M242" s="82"/>
      <c r="N242" s="83">
        <f t="shared" si="16"/>
        <v>1286460</v>
      </c>
      <c r="O242" s="84">
        <v>42145</v>
      </c>
      <c r="P242" s="25"/>
    </row>
    <row r="243" spans="1:39" s="26" customFormat="1" ht="47.4" customHeight="1" x14ac:dyDescent="0.25">
      <c r="A243" s="93">
        <v>1167</v>
      </c>
      <c r="B243" s="90" t="s">
        <v>478</v>
      </c>
      <c r="C243" s="93">
        <v>2008</v>
      </c>
      <c r="D243" s="115" t="s">
        <v>29</v>
      </c>
      <c r="E243" s="90">
        <v>2015</v>
      </c>
      <c r="F243" s="90" t="s">
        <v>332</v>
      </c>
      <c r="G243" s="79">
        <f t="shared" ref="G243:G248" si="17">N243/L243</f>
        <v>3150.077179763186</v>
      </c>
      <c r="H243" s="80" t="s">
        <v>479</v>
      </c>
      <c r="I243" s="91" t="s">
        <v>27</v>
      </c>
      <c r="J243" s="87">
        <v>176</v>
      </c>
      <c r="K243" s="87">
        <v>1629</v>
      </c>
      <c r="L243" s="87">
        <v>185.8</v>
      </c>
      <c r="M243" s="82">
        <v>3.8967000000000001</v>
      </c>
      <c r="N243" s="83">
        <f>150200*M243</f>
        <v>585284.34</v>
      </c>
      <c r="O243" s="84">
        <v>42145</v>
      </c>
      <c r="P243" s="25"/>
    </row>
    <row r="244" spans="1:39" s="26" customFormat="1" ht="45.6" customHeight="1" x14ac:dyDescent="0.25">
      <c r="A244" s="93">
        <v>1168</v>
      </c>
      <c r="B244" s="90" t="s">
        <v>480</v>
      </c>
      <c r="C244" s="93">
        <v>2013</v>
      </c>
      <c r="D244" s="115" t="s">
        <v>29</v>
      </c>
      <c r="E244" s="90">
        <v>2015</v>
      </c>
      <c r="F244" s="90" t="s">
        <v>329</v>
      </c>
      <c r="G244" s="79">
        <f t="shared" si="17"/>
        <v>2573.3320236813779</v>
      </c>
      <c r="H244" s="80" t="s">
        <v>1015</v>
      </c>
      <c r="I244" s="91" t="s">
        <v>27</v>
      </c>
      <c r="J244" s="87">
        <v>177</v>
      </c>
      <c r="K244" s="87">
        <v>1630</v>
      </c>
      <c r="L244" s="87">
        <v>185.8</v>
      </c>
      <c r="M244" s="82">
        <v>3.8967000000000001</v>
      </c>
      <c r="N244" s="83">
        <f>122700*M244</f>
        <v>478125.09</v>
      </c>
      <c r="O244" s="84">
        <v>42145</v>
      </c>
      <c r="P244" s="25"/>
    </row>
    <row r="245" spans="1:39" s="26" customFormat="1" ht="48.6" customHeight="1" x14ac:dyDescent="0.25">
      <c r="A245" s="93">
        <v>1169</v>
      </c>
      <c r="B245" s="90" t="s">
        <v>481</v>
      </c>
      <c r="C245" s="93">
        <v>2010</v>
      </c>
      <c r="D245" s="115" t="s">
        <v>29</v>
      </c>
      <c r="E245" s="90">
        <v>2015</v>
      </c>
      <c r="F245" s="90" t="s">
        <v>332</v>
      </c>
      <c r="G245" s="79">
        <f t="shared" si="17"/>
        <v>2892.1148008611412</v>
      </c>
      <c r="H245" s="80" t="s">
        <v>1002</v>
      </c>
      <c r="I245" s="91" t="s">
        <v>27</v>
      </c>
      <c r="J245" s="87">
        <v>178</v>
      </c>
      <c r="K245" s="87">
        <v>1631</v>
      </c>
      <c r="L245" s="87">
        <v>185.8</v>
      </c>
      <c r="M245" s="82">
        <v>3.8967000000000001</v>
      </c>
      <c r="N245" s="83">
        <f>137900*M245</f>
        <v>537354.93000000005</v>
      </c>
      <c r="O245" s="84">
        <v>42145</v>
      </c>
      <c r="P245" s="25"/>
    </row>
    <row r="246" spans="1:39" s="26" customFormat="1" ht="51" customHeight="1" x14ac:dyDescent="0.25">
      <c r="A246" s="93">
        <v>1170</v>
      </c>
      <c r="B246" s="90" t="s">
        <v>482</v>
      </c>
      <c r="C246" s="93">
        <v>2005</v>
      </c>
      <c r="D246" s="115" t="s">
        <v>29</v>
      </c>
      <c r="E246" s="90">
        <v>2015</v>
      </c>
      <c r="F246" s="90" t="s">
        <v>332</v>
      </c>
      <c r="G246" s="79">
        <f t="shared" si="17"/>
        <v>3229.7728740581269</v>
      </c>
      <c r="H246" s="80" t="s">
        <v>42</v>
      </c>
      <c r="I246" s="91" t="s">
        <v>27</v>
      </c>
      <c r="J246" s="87">
        <v>179</v>
      </c>
      <c r="K246" s="87">
        <v>1632</v>
      </c>
      <c r="L246" s="87">
        <v>185.8</v>
      </c>
      <c r="M246" s="82">
        <v>3.8967000000000001</v>
      </c>
      <c r="N246" s="83">
        <f>154000*M246</f>
        <v>600091.80000000005</v>
      </c>
      <c r="O246" s="84">
        <v>42145</v>
      </c>
      <c r="P246" s="25"/>
    </row>
    <row r="247" spans="1:39" s="26" customFormat="1" ht="48.6" customHeight="1" x14ac:dyDescent="0.25">
      <c r="A247" s="93">
        <v>1171</v>
      </c>
      <c r="B247" s="90" t="s">
        <v>483</v>
      </c>
      <c r="C247" s="93">
        <v>1997</v>
      </c>
      <c r="D247" s="118" t="s">
        <v>484</v>
      </c>
      <c r="E247" s="90">
        <v>2015</v>
      </c>
      <c r="F247" s="90" t="s">
        <v>485</v>
      </c>
      <c r="G247" s="79">
        <f t="shared" si="17"/>
        <v>703.62909041980618</v>
      </c>
      <c r="H247" s="80" t="s">
        <v>486</v>
      </c>
      <c r="I247" s="91" t="s">
        <v>132</v>
      </c>
      <c r="J247" s="87">
        <v>180</v>
      </c>
      <c r="K247" s="87">
        <v>1633</v>
      </c>
      <c r="L247" s="87">
        <v>185.8</v>
      </c>
      <c r="M247" s="82">
        <v>3.8967000000000001</v>
      </c>
      <c r="N247" s="83">
        <f>33550*M247</f>
        <v>130734.285</v>
      </c>
      <c r="O247" s="84">
        <v>42145</v>
      </c>
      <c r="P247" s="25"/>
    </row>
    <row r="248" spans="1:39" s="26" customFormat="1" ht="38.4" customHeight="1" x14ac:dyDescent="0.25">
      <c r="A248" s="93">
        <v>1172</v>
      </c>
      <c r="B248" s="90" t="s">
        <v>487</v>
      </c>
      <c r="C248" s="93">
        <v>2009</v>
      </c>
      <c r="D248" s="114" t="s">
        <v>29</v>
      </c>
      <c r="E248" s="90">
        <v>2015</v>
      </c>
      <c r="F248" s="78" t="s">
        <v>105</v>
      </c>
      <c r="G248" s="79">
        <f t="shared" si="17"/>
        <v>2972.8591227125939</v>
      </c>
      <c r="H248" s="80" t="s">
        <v>488</v>
      </c>
      <c r="I248" s="91" t="s">
        <v>27</v>
      </c>
      <c r="J248" s="87">
        <v>181</v>
      </c>
      <c r="K248" s="87">
        <v>1634</v>
      </c>
      <c r="L248" s="87">
        <v>185.8</v>
      </c>
      <c r="M248" s="82">
        <v>3.8967000000000001</v>
      </c>
      <c r="N248" s="83">
        <f>141750*M248</f>
        <v>552357.22499999998</v>
      </c>
      <c r="O248" s="84">
        <v>42145</v>
      </c>
      <c r="P248" s="25"/>
    </row>
    <row r="249" spans="1:39" s="26" customFormat="1" ht="44.4" customHeight="1" x14ac:dyDescent="0.25">
      <c r="A249" s="93">
        <v>1173</v>
      </c>
      <c r="B249" s="90" t="s">
        <v>489</v>
      </c>
      <c r="C249" s="93">
        <v>2005</v>
      </c>
      <c r="D249" s="116" t="s">
        <v>29</v>
      </c>
      <c r="E249" s="90">
        <v>2015</v>
      </c>
      <c r="F249" s="90" t="s">
        <v>469</v>
      </c>
      <c r="G249" s="79">
        <f>N249/L249</f>
        <v>3798.1969860064582</v>
      </c>
      <c r="H249" s="80" t="s">
        <v>354</v>
      </c>
      <c r="I249" s="91" t="s">
        <v>27</v>
      </c>
      <c r="J249" s="87">
        <v>182</v>
      </c>
      <c r="K249" s="87">
        <v>1635</v>
      </c>
      <c r="L249" s="87">
        <v>185.8</v>
      </c>
      <c r="M249" s="82">
        <v>30.55</v>
      </c>
      <c r="N249" s="83">
        <f>23100*M249</f>
        <v>705705</v>
      </c>
      <c r="O249" s="84">
        <v>42145</v>
      </c>
      <c r="P249" s="25"/>
    </row>
    <row r="250" spans="1:39" s="26" customFormat="1" ht="42" customHeight="1" x14ac:dyDescent="0.25">
      <c r="A250" s="93">
        <v>1174</v>
      </c>
      <c r="B250" s="90" t="s">
        <v>490</v>
      </c>
      <c r="C250" s="93">
        <v>2010</v>
      </c>
      <c r="D250" s="116" t="s">
        <v>29</v>
      </c>
      <c r="E250" s="90">
        <v>2015</v>
      </c>
      <c r="F250" s="90" t="s">
        <v>469</v>
      </c>
      <c r="G250" s="79">
        <f>N250/L250</f>
        <v>470.2529601722282</v>
      </c>
      <c r="H250" s="80" t="s">
        <v>1039</v>
      </c>
      <c r="I250" s="91" t="s">
        <v>27</v>
      </c>
      <c r="J250" s="87">
        <v>183</v>
      </c>
      <c r="K250" s="87">
        <v>1636</v>
      </c>
      <c r="L250" s="87">
        <v>185.8</v>
      </c>
      <c r="M250" s="82">
        <v>30.55</v>
      </c>
      <c r="N250" s="83">
        <f>2860*M250</f>
        <v>87373</v>
      </c>
      <c r="O250" s="84">
        <v>42145</v>
      </c>
      <c r="P250" s="25"/>
    </row>
    <row r="251" spans="1:39" s="71" customFormat="1" ht="75.599999999999994" customHeight="1" x14ac:dyDescent="0.25">
      <c r="A251" s="93">
        <v>1175</v>
      </c>
      <c r="B251" s="90" t="s">
        <v>491</v>
      </c>
      <c r="C251" s="93">
        <v>2007</v>
      </c>
      <c r="D251" s="116" t="s">
        <v>29</v>
      </c>
      <c r="E251" s="90">
        <v>2015</v>
      </c>
      <c r="F251" s="90" t="s">
        <v>469</v>
      </c>
      <c r="G251" s="79">
        <f>N251/L251</f>
        <v>3414.2666846071043</v>
      </c>
      <c r="H251" s="80" t="s">
        <v>1038</v>
      </c>
      <c r="I251" s="91" t="s">
        <v>531</v>
      </c>
      <c r="J251" s="87">
        <v>184</v>
      </c>
      <c r="K251" s="87">
        <v>1637</v>
      </c>
      <c r="L251" s="87">
        <v>185.8</v>
      </c>
      <c r="M251" s="82">
        <v>30.55</v>
      </c>
      <c r="N251" s="83">
        <f>20765*M251</f>
        <v>634370.75</v>
      </c>
      <c r="O251" s="84">
        <v>42145</v>
      </c>
      <c r="P251" s="25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</row>
    <row r="252" spans="1:39" s="71" customFormat="1" ht="74.400000000000006" customHeight="1" x14ac:dyDescent="0.25">
      <c r="A252" s="93">
        <v>1176</v>
      </c>
      <c r="B252" s="90" t="s">
        <v>492</v>
      </c>
      <c r="C252" s="93">
        <v>2007</v>
      </c>
      <c r="D252" s="116" t="s">
        <v>29</v>
      </c>
      <c r="E252" s="90">
        <v>2015</v>
      </c>
      <c r="F252" s="90" t="s">
        <v>469</v>
      </c>
      <c r="G252" s="79">
        <f>N252/L252</f>
        <v>3517.0317545748112</v>
      </c>
      <c r="H252" s="80" t="s">
        <v>1037</v>
      </c>
      <c r="I252" s="91" t="s">
        <v>531</v>
      </c>
      <c r="J252" s="87">
        <v>185</v>
      </c>
      <c r="K252" s="87">
        <v>1638</v>
      </c>
      <c r="L252" s="87">
        <v>185.8</v>
      </c>
      <c r="M252" s="82">
        <v>30.55</v>
      </c>
      <c r="N252" s="83">
        <f>21390*M252</f>
        <v>653464.5</v>
      </c>
      <c r="O252" s="84">
        <v>42145</v>
      </c>
      <c r="P252" s="25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</row>
    <row r="253" spans="1:39" s="26" customFormat="1" ht="64.95" customHeight="1" x14ac:dyDescent="0.25">
      <c r="A253" s="93">
        <v>1177</v>
      </c>
      <c r="B253" s="90" t="s">
        <v>493</v>
      </c>
      <c r="C253" s="93">
        <v>2012</v>
      </c>
      <c r="D253" s="116" t="s">
        <v>29</v>
      </c>
      <c r="E253" s="90">
        <v>2015</v>
      </c>
      <c r="F253" s="90" t="s">
        <v>456</v>
      </c>
      <c r="G253" s="79">
        <v>3998</v>
      </c>
      <c r="H253" s="80" t="s">
        <v>231</v>
      </c>
      <c r="I253" s="91" t="s">
        <v>27</v>
      </c>
      <c r="J253" s="87">
        <v>186</v>
      </c>
      <c r="K253" s="87">
        <v>1639</v>
      </c>
      <c r="L253" s="87">
        <v>186.92</v>
      </c>
      <c r="M253" s="82"/>
      <c r="N253" s="83">
        <f>G253*L253</f>
        <v>747306.15999999992</v>
      </c>
      <c r="O253" s="84">
        <v>42145</v>
      </c>
      <c r="P253" s="25"/>
    </row>
    <row r="254" spans="1:39" s="26" customFormat="1" ht="88.95" customHeight="1" x14ac:dyDescent="0.25">
      <c r="A254" s="93"/>
      <c r="B254" s="90" t="s">
        <v>476</v>
      </c>
      <c r="C254" s="93">
        <v>2012</v>
      </c>
      <c r="D254" s="119" t="s">
        <v>477</v>
      </c>
      <c r="E254" s="90" t="s">
        <v>197</v>
      </c>
      <c r="F254" s="78" t="s">
        <v>437</v>
      </c>
      <c r="G254" s="79">
        <v>9000</v>
      </c>
      <c r="H254" s="80" t="s">
        <v>47</v>
      </c>
      <c r="I254" s="91" t="s">
        <v>132</v>
      </c>
      <c r="J254" s="87"/>
      <c r="K254" s="87"/>
      <c r="L254" s="87">
        <v>183.78</v>
      </c>
      <c r="M254" s="82"/>
      <c r="N254" s="83">
        <f>G254*L254</f>
        <v>1654020</v>
      </c>
      <c r="O254" s="84">
        <v>42146</v>
      </c>
      <c r="P254" s="25"/>
    </row>
    <row r="255" spans="1:39" s="26" customFormat="1" ht="47.4" customHeight="1" x14ac:dyDescent="0.25">
      <c r="A255" s="173"/>
      <c r="B255" s="175" t="s">
        <v>435</v>
      </c>
      <c r="C255" s="173">
        <v>2002</v>
      </c>
      <c r="D255" s="184" t="s">
        <v>436</v>
      </c>
      <c r="E255" s="175" t="s">
        <v>197</v>
      </c>
      <c r="F255" s="175" t="s">
        <v>437</v>
      </c>
      <c r="G255" s="79">
        <v>9000</v>
      </c>
      <c r="H255" s="80" t="s">
        <v>47</v>
      </c>
      <c r="I255" s="161" t="s">
        <v>132</v>
      </c>
      <c r="J255" s="157"/>
      <c r="K255" s="157"/>
      <c r="L255" s="87">
        <v>183.78</v>
      </c>
      <c r="M255" s="82"/>
      <c r="N255" s="83">
        <f>G255*L255</f>
        <v>1654020</v>
      </c>
      <c r="O255" s="84">
        <v>42146</v>
      </c>
      <c r="P255" s="25"/>
    </row>
    <row r="256" spans="1:39" s="26" customFormat="1" ht="54" customHeight="1" x14ac:dyDescent="0.25">
      <c r="A256" s="174"/>
      <c r="B256" s="176"/>
      <c r="C256" s="174"/>
      <c r="D256" s="178"/>
      <c r="E256" s="176"/>
      <c r="F256" s="178"/>
      <c r="G256" s="79">
        <v>6500</v>
      </c>
      <c r="H256" s="80" t="s">
        <v>112</v>
      </c>
      <c r="I256" s="162"/>
      <c r="J256" s="158"/>
      <c r="K256" s="158"/>
      <c r="L256" s="87">
        <v>186.92</v>
      </c>
      <c r="M256" s="82"/>
      <c r="N256" s="83">
        <f>G256*L256</f>
        <v>1214980</v>
      </c>
      <c r="O256" s="84">
        <v>42152</v>
      </c>
      <c r="P256" s="25"/>
    </row>
    <row r="257" spans="1:39" s="26" customFormat="1" ht="72.599999999999994" customHeight="1" x14ac:dyDescent="0.25">
      <c r="A257" s="93"/>
      <c r="B257" s="90" t="s">
        <v>63</v>
      </c>
      <c r="C257" s="93">
        <v>2011</v>
      </c>
      <c r="D257" s="95" t="s">
        <v>318</v>
      </c>
      <c r="E257" s="90" t="s">
        <v>449</v>
      </c>
      <c r="F257" s="90" t="s">
        <v>494</v>
      </c>
      <c r="G257" s="79">
        <f>N257/L257</f>
        <v>5506.3793283100104</v>
      </c>
      <c r="H257" s="80" t="s">
        <v>495</v>
      </c>
      <c r="I257" s="91" t="s">
        <v>132</v>
      </c>
      <c r="J257" s="87">
        <v>187</v>
      </c>
      <c r="K257" s="87">
        <v>1640</v>
      </c>
      <c r="L257" s="87">
        <v>185.8</v>
      </c>
      <c r="M257" s="82">
        <v>3.8353999999999999</v>
      </c>
      <c r="N257" s="83">
        <f>266748*M257</f>
        <v>1023085.2792</v>
      </c>
      <c r="O257" s="84">
        <v>42146</v>
      </c>
      <c r="P257" s="25"/>
    </row>
    <row r="258" spans="1:39" s="26" customFormat="1" ht="38.4" customHeight="1" x14ac:dyDescent="0.25">
      <c r="A258" s="93">
        <v>1178</v>
      </c>
      <c r="B258" s="90" t="s">
        <v>496</v>
      </c>
      <c r="C258" s="93">
        <v>2007</v>
      </c>
      <c r="D258" s="111" t="s">
        <v>29</v>
      </c>
      <c r="E258" s="90">
        <v>2015</v>
      </c>
      <c r="F258" s="78" t="s">
        <v>105</v>
      </c>
      <c r="G258" s="79">
        <f>N258/L258</f>
        <v>2913.1525834230351</v>
      </c>
      <c r="H258" s="80" t="s">
        <v>497</v>
      </c>
      <c r="I258" s="91" t="s">
        <v>27</v>
      </c>
      <c r="J258" s="87">
        <v>188</v>
      </c>
      <c r="K258" s="87">
        <v>1641</v>
      </c>
      <c r="L258" s="87">
        <v>185.8</v>
      </c>
      <c r="M258" s="82">
        <v>3.9009999999999998</v>
      </c>
      <c r="N258" s="83">
        <f>138750*M258</f>
        <v>541263.75</v>
      </c>
      <c r="O258" s="84">
        <v>42150</v>
      </c>
      <c r="P258" s="25"/>
    </row>
    <row r="259" spans="1:39" s="26" customFormat="1" ht="64.95" customHeight="1" x14ac:dyDescent="0.25">
      <c r="A259" s="93"/>
      <c r="B259" s="90" t="s">
        <v>142</v>
      </c>
      <c r="C259" s="93">
        <v>2007</v>
      </c>
      <c r="D259" s="90" t="s">
        <v>143</v>
      </c>
      <c r="E259" s="90" t="s">
        <v>195</v>
      </c>
      <c r="F259" s="90" t="s">
        <v>498</v>
      </c>
      <c r="G259" s="79">
        <f>N259/L259</f>
        <v>2427.1022604951559</v>
      </c>
      <c r="H259" s="80" t="s">
        <v>499</v>
      </c>
      <c r="I259" s="91" t="s">
        <v>132</v>
      </c>
      <c r="J259" s="87">
        <v>189</v>
      </c>
      <c r="K259" s="87">
        <v>1642</v>
      </c>
      <c r="L259" s="87">
        <v>185.8</v>
      </c>
      <c r="M259" s="82">
        <v>3.9009999999999998</v>
      </c>
      <c r="N259" s="83">
        <f>115600*M259</f>
        <v>450955.6</v>
      </c>
      <c r="O259" s="84">
        <v>42150</v>
      </c>
      <c r="P259" s="25"/>
    </row>
    <row r="260" spans="1:39" s="26" customFormat="1" ht="47.4" customHeight="1" x14ac:dyDescent="0.25">
      <c r="A260" s="93">
        <v>1179</v>
      </c>
      <c r="B260" s="90" t="s">
        <v>500</v>
      </c>
      <c r="C260" s="93">
        <v>2011</v>
      </c>
      <c r="D260" s="116" t="s">
        <v>29</v>
      </c>
      <c r="E260" s="90">
        <v>2015</v>
      </c>
      <c r="F260" s="90" t="s">
        <v>352</v>
      </c>
      <c r="G260" s="79">
        <v>2772</v>
      </c>
      <c r="H260" s="80" t="s">
        <v>1079</v>
      </c>
      <c r="I260" s="91" t="s">
        <v>27</v>
      </c>
      <c r="J260" s="87">
        <v>190</v>
      </c>
      <c r="K260" s="87">
        <v>1643</v>
      </c>
      <c r="L260" s="87">
        <v>186.92</v>
      </c>
      <c r="M260" s="82"/>
      <c r="N260" s="83">
        <f>G260*L260</f>
        <v>518142.24</v>
      </c>
      <c r="O260" s="84">
        <v>42151</v>
      </c>
      <c r="P260" s="25"/>
    </row>
    <row r="261" spans="1:39" s="26" customFormat="1" ht="59.4" customHeight="1" x14ac:dyDescent="0.25">
      <c r="A261" s="93"/>
      <c r="B261" s="90" t="s">
        <v>291</v>
      </c>
      <c r="C261" s="93">
        <v>2005</v>
      </c>
      <c r="D261" s="116" t="s">
        <v>29</v>
      </c>
      <c r="E261" s="90" t="s">
        <v>197</v>
      </c>
      <c r="F261" s="90" t="s">
        <v>456</v>
      </c>
      <c r="G261" s="79">
        <v>1604</v>
      </c>
      <c r="H261" s="80" t="s">
        <v>501</v>
      </c>
      <c r="I261" s="91" t="s">
        <v>132</v>
      </c>
      <c r="J261" s="87"/>
      <c r="K261" s="87"/>
      <c r="L261" s="87">
        <v>186.92</v>
      </c>
      <c r="M261" s="82"/>
      <c r="N261" s="83">
        <f>G261*L261</f>
        <v>299819.68</v>
      </c>
      <c r="O261" s="84">
        <v>42151</v>
      </c>
      <c r="P261" s="25"/>
    </row>
    <row r="262" spans="1:39" s="26" customFormat="1" ht="43.95" customHeight="1" x14ac:dyDescent="0.25">
      <c r="A262" s="93">
        <v>1180</v>
      </c>
      <c r="B262" s="90" t="s">
        <v>502</v>
      </c>
      <c r="C262" s="93">
        <v>2014</v>
      </c>
      <c r="D262" s="116" t="s">
        <v>29</v>
      </c>
      <c r="E262" s="90">
        <v>2015</v>
      </c>
      <c r="F262" s="90" t="s">
        <v>469</v>
      </c>
      <c r="G262" s="79">
        <f>N262/L262</f>
        <v>3667.1555435952637</v>
      </c>
      <c r="H262" s="80" t="s">
        <v>1035</v>
      </c>
      <c r="I262" s="91" t="s">
        <v>27</v>
      </c>
      <c r="J262" s="87">
        <v>191</v>
      </c>
      <c r="K262" s="87">
        <v>1644</v>
      </c>
      <c r="L262" s="87">
        <v>185.8</v>
      </c>
      <c r="M262" s="82">
        <v>30.35</v>
      </c>
      <c r="N262" s="83">
        <f>22450*M262</f>
        <v>681357.5</v>
      </c>
      <c r="O262" s="84">
        <v>42151</v>
      </c>
      <c r="P262" s="25"/>
    </row>
    <row r="263" spans="1:39" s="26" customFormat="1" ht="48" customHeight="1" x14ac:dyDescent="0.25">
      <c r="A263" s="93">
        <v>1181</v>
      </c>
      <c r="B263" s="90" t="s">
        <v>503</v>
      </c>
      <c r="C263" s="93">
        <v>2014</v>
      </c>
      <c r="D263" s="116" t="s">
        <v>59</v>
      </c>
      <c r="E263" s="90">
        <v>2015</v>
      </c>
      <c r="F263" s="90" t="s">
        <v>155</v>
      </c>
      <c r="G263" s="79">
        <f>N263/L263</f>
        <v>1707.4049263455329</v>
      </c>
      <c r="H263" s="80" t="s">
        <v>504</v>
      </c>
      <c r="I263" s="91" t="s">
        <v>132</v>
      </c>
      <c r="J263" s="87">
        <v>192</v>
      </c>
      <c r="K263" s="87">
        <v>1645</v>
      </c>
      <c r="L263" s="87">
        <v>185.8</v>
      </c>
      <c r="M263" s="82">
        <v>3.7555000000000001</v>
      </c>
      <c r="N263" s="83">
        <f>84472.33*M263</f>
        <v>317235.83531500003</v>
      </c>
      <c r="O263" s="84">
        <v>42152</v>
      </c>
      <c r="P263" s="25"/>
    </row>
    <row r="264" spans="1:39" s="26" customFormat="1" ht="45" customHeight="1" x14ac:dyDescent="0.25">
      <c r="A264" s="93"/>
      <c r="B264" s="90" t="s">
        <v>154</v>
      </c>
      <c r="C264" s="93">
        <v>2013</v>
      </c>
      <c r="D264" s="116" t="s">
        <v>59</v>
      </c>
      <c r="E264" s="90" t="s">
        <v>195</v>
      </c>
      <c r="F264" s="90" t="s">
        <v>155</v>
      </c>
      <c r="G264" s="79">
        <f>N264/L264</f>
        <v>1707.4049263455329</v>
      </c>
      <c r="H264" s="80" t="s">
        <v>504</v>
      </c>
      <c r="I264" s="91" t="s">
        <v>132</v>
      </c>
      <c r="J264" s="87">
        <v>193</v>
      </c>
      <c r="K264" s="87">
        <v>1646</v>
      </c>
      <c r="L264" s="87">
        <v>185.8</v>
      </c>
      <c r="M264" s="82">
        <v>3.7555000000000001</v>
      </c>
      <c r="N264" s="83">
        <f>84472.33*M264</f>
        <v>317235.83531500003</v>
      </c>
      <c r="O264" s="84">
        <v>42152</v>
      </c>
      <c r="P264" s="25"/>
    </row>
    <row r="265" spans="1:39" s="26" customFormat="1" ht="51" customHeight="1" x14ac:dyDescent="0.25">
      <c r="A265" s="93">
        <v>1182</v>
      </c>
      <c r="B265" s="90" t="s">
        <v>505</v>
      </c>
      <c r="C265" s="93">
        <v>2013</v>
      </c>
      <c r="D265" s="116" t="s">
        <v>29</v>
      </c>
      <c r="E265" s="90">
        <v>2015</v>
      </c>
      <c r="F265" s="90" t="s">
        <v>352</v>
      </c>
      <c r="G265" s="79">
        <v>3956</v>
      </c>
      <c r="H265" s="80" t="s">
        <v>431</v>
      </c>
      <c r="I265" s="91" t="s">
        <v>27</v>
      </c>
      <c r="J265" s="87">
        <v>194</v>
      </c>
      <c r="K265" s="87">
        <v>1647</v>
      </c>
      <c r="L265" s="87">
        <v>186.92</v>
      </c>
      <c r="M265" s="82"/>
      <c r="N265" s="83">
        <f>G265*L265</f>
        <v>739455.5199999999</v>
      </c>
      <c r="O265" s="84">
        <v>42152</v>
      </c>
      <c r="P265" s="25"/>
    </row>
    <row r="266" spans="1:39" s="26" customFormat="1" ht="42" customHeight="1" x14ac:dyDescent="0.25">
      <c r="A266" s="93">
        <v>1183</v>
      </c>
      <c r="B266" s="90" t="s">
        <v>506</v>
      </c>
      <c r="C266" s="93">
        <v>2007</v>
      </c>
      <c r="D266" s="116" t="s">
        <v>29</v>
      </c>
      <c r="E266" s="90">
        <v>2015</v>
      </c>
      <c r="F266" s="90" t="s">
        <v>469</v>
      </c>
      <c r="G266" s="79">
        <f>N266/L266</f>
        <v>1723.6300080666847</v>
      </c>
      <c r="H266" s="80" t="s">
        <v>721</v>
      </c>
      <c r="I266" s="91" t="s">
        <v>27</v>
      </c>
      <c r="J266" s="87">
        <v>195</v>
      </c>
      <c r="K266" s="87">
        <v>1648</v>
      </c>
      <c r="L266" s="87">
        <v>185.95</v>
      </c>
      <c r="M266" s="82">
        <v>30.38</v>
      </c>
      <c r="N266" s="83">
        <f>10550*M266</f>
        <v>320509</v>
      </c>
      <c r="O266" s="84">
        <v>42156</v>
      </c>
      <c r="P266" s="25"/>
    </row>
    <row r="267" spans="1:39" s="26" customFormat="1" ht="87.6" customHeight="1" x14ac:dyDescent="0.25">
      <c r="A267" s="93">
        <v>1184</v>
      </c>
      <c r="B267" s="90" t="s">
        <v>507</v>
      </c>
      <c r="C267" s="93">
        <v>2012</v>
      </c>
      <c r="D267" s="113" t="s">
        <v>508</v>
      </c>
      <c r="E267" s="90">
        <v>2015</v>
      </c>
      <c r="F267" s="101" t="s">
        <v>91</v>
      </c>
      <c r="G267" s="79">
        <v>2800</v>
      </c>
      <c r="H267" s="80" t="s">
        <v>509</v>
      </c>
      <c r="I267" s="91" t="s">
        <v>27</v>
      </c>
      <c r="J267" s="87">
        <v>196</v>
      </c>
      <c r="K267" s="87">
        <v>1649</v>
      </c>
      <c r="L267" s="87">
        <v>187.07</v>
      </c>
      <c r="M267" s="82"/>
      <c r="N267" s="83">
        <f>G267*L267</f>
        <v>523796</v>
      </c>
      <c r="O267" s="84">
        <v>42157</v>
      </c>
      <c r="P267" s="25"/>
    </row>
    <row r="268" spans="1:39" s="26" customFormat="1" ht="47.4" customHeight="1" x14ac:dyDescent="0.25">
      <c r="A268" s="93"/>
      <c r="B268" s="90" t="s">
        <v>278</v>
      </c>
      <c r="C268" s="93">
        <v>2014</v>
      </c>
      <c r="D268" s="78" t="s">
        <v>59</v>
      </c>
      <c r="E268" s="90" t="s">
        <v>195</v>
      </c>
      <c r="F268" s="78" t="s">
        <v>155</v>
      </c>
      <c r="G268" s="79">
        <f>N268/L268</f>
        <v>1612.9077898467331</v>
      </c>
      <c r="H268" s="80" t="s">
        <v>510</v>
      </c>
      <c r="I268" s="91" t="s">
        <v>27</v>
      </c>
      <c r="J268" s="87">
        <v>197</v>
      </c>
      <c r="K268" s="87">
        <v>1650</v>
      </c>
      <c r="L268" s="87">
        <v>185.95</v>
      </c>
      <c r="M268" s="82">
        <v>3.6377999999999999</v>
      </c>
      <c r="N268" s="83">
        <f>82445.49*M268</f>
        <v>299920.203522</v>
      </c>
      <c r="O268" s="84">
        <v>42157</v>
      </c>
      <c r="P268" s="25"/>
    </row>
    <row r="269" spans="1:39" s="71" customFormat="1" ht="87" customHeight="1" x14ac:dyDescent="0.25">
      <c r="A269" s="93">
        <v>1185</v>
      </c>
      <c r="B269" s="90" t="s">
        <v>511</v>
      </c>
      <c r="C269" s="93">
        <v>2013</v>
      </c>
      <c r="D269" s="113" t="s">
        <v>512</v>
      </c>
      <c r="E269" s="90">
        <v>2015</v>
      </c>
      <c r="F269" s="90" t="s">
        <v>452</v>
      </c>
      <c r="G269" s="79">
        <f>N269/L269</f>
        <v>6593.4660371067494</v>
      </c>
      <c r="H269" s="80" t="s">
        <v>1086</v>
      </c>
      <c r="I269" s="91" t="s">
        <v>27</v>
      </c>
      <c r="J269" s="87">
        <v>198</v>
      </c>
      <c r="K269" s="87">
        <v>1651</v>
      </c>
      <c r="L269" s="87">
        <v>185.95</v>
      </c>
      <c r="M269" s="82">
        <v>3.6377999999999999</v>
      </c>
      <c r="N269" s="83">
        <f>337032*M269</f>
        <v>1226055.0096</v>
      </c>
      <c r="O269" s="84">
        <v>42157</v>
      </c>
      <c r="P269" s="25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</row>
    <row r="270" spans="1:39" s="26" customFormat="1" ht="39.6" customHeight="1" x14ac:dyDescent="0.25">
      <c r="A270" s="173">
        <v>1186</v>
      </c>
      <c r="B270" s="175" t="s">
        <v>513</v>
      </c>
      <c r="C270" s="173">
        <v>2010</v>
      </c>
      <c r="D270" s="177" t="s">
        <v>514</v>
      </c>
      <c r="E270" s="173">
        <v>2015</v>
      </c>
      <c r="F270" s="175" t="s">
        <v>102</v>
      </c>
      <c r="G270" s="79">
        <v>9000</v>
      </c>
      <c r="H270" s="80" t="s">
        <v>47</v>
      </c>
      <c r="I270" s="161" t="s">
        <v>27</v>
      </c>
      <c r="J270" s="157">
        <v>199</v>
      </c>
      <c r="K270" s="157">
        <v>1652</v>
      </c>
      <c r="L270" s="87">
        <v>187.07</v>
      </c>
      <c r="M270" s="82"/>
      <c r="N270" s="83">
        <f>G270*L270</f>
        <v>1683630</v>
      </c>
      <c r="O270" s="84">
        <v>42157</v>
      </c>
      <c r="P270" s="25"/>
    </row>
    <row r="271" spans="1:39" s="26" customFormat="1" ht="37.950000000000003" customHeight="1" x14ac:dyDescent="0.25">
      <c r="A271" s="174"/>
      <c r="B271" s="176"/>
      <c r="C271" s="174"/>
      <c r="D271" s="187"/>
      <c r="E271" s="174"/>
      <c r="F271" s="176"/>
      <c r="G271" s="79">
        <v>6804</v>
      </c>
      <c r="H271" s="80" t="s">
        <v>1105</v>
      </c>
      <c r="I271" s="162"/>
      <c r="J271" s="158"/>
      <c r="K271" s="158"/>
      <c r="L271" s="87">
        <v>187.07</v>
      </c>
      <c r="M271" s="82"/>
      <c r="N271" s="83">
        <f>G271*L271</f>
        <v>1272824.28</v>
      </c>
      <c r="O271" s="84">
        <v>42158</v>
      </c>
      <c r="P271" s="25"/>
    </row>
    <row r="272" spans="1:39" s="26" customFormat="1" ht="91.2" customHeight="1" x14ac:dyDescent="0.25">
      <c r="A272" s="93">
        <v>1187</v>
      </c>
      <c r="B272" s="90" t="s">
        <v>515</v>
      </c>
      <c r="C272" s="93">
        <v>2009</v>
      </c>
      <c r="D272" s="113" t="s">
        <v>516</v>
      </c>
      <c r="E272" s="90">
        <v>2015</v>
      </c>
      <c r="F272" s="78" t="s">
        <v>362</v>
      </c>
      <c r="G272" s="79">
        <v>2885</v>
      </c>
      <c r="H272" s="80" t="s">
        <v>1047</v>
      </c>
      <c r="I272" s="91" t="s">
        <v>132</v>
      </c>
      <c r="J272" s="87">
        <v>200</v>
      </c>
      <c r="K272" s="87">
        <v>1653</v>
      </c>
      <c r="L272" s="87">
        <v>183.78</v>
      </c>
      <c r="M272" s="82"/>
      <c r="N272" s="83">
        <f>G272*L272</f>
        <v>530205.30000000005</v>
      </c>
      <c r="O272" s="84">
        <v>42158</v>
      </c>
      <c r="P272" s="25"/>
    </row>
    <row r="273" spans="1:66" s="26" customFormat="1" ht="38.4" customHeight="1" x14ac:dyDescent="0.25">
      <c r="A273" s="93">
        <v>1188</v>
      </c>
      <c r="B273" s="90" t="s">
        <v>517</v>
      </c>
      <c r="C273" s="93">
        <v>2011</v>
      </c>
      <c r="D273" s="116" t="s">
        <v>29</v>
      </c>
      <c r="E273" s="90">
        <v>2015</v>
      </c>
      <c r="F273" s="78" t="s">
        <v>105</v>
      </c>
      <c r="G273" s="79">
        <f>N273/L273</f>
        <v>2774.4896477547732</v>
      </c>
      <c r="H273" s="80" t="s">
        <v>518</v>
      </c>
      <c r="I273" s="91" t="s">
        <v>27</v>
      </c>
      <c r="J273" s="87">
        <v>201</v>
      </c>
      <c r="K273" s="87">
        <v>1654</v>
      </c>
      <c r="L273" s="87">
        <v>185.95</v>
      </c>
      <c r="M273" s="82">
        <v>3.6970000000000001</v>
      </c>
      <c r="N273" s="83">
        <f>139550*M273</f>
        <v>515916.35000000003</v>
      </c>
      <c r="O273" s="84">
        <v>42158</v>
      </c>
      <c r="P273" s="25"/>
    </row>
    <row r="274" spans="1:66" s="26" customFormat="1" ht="39.6" customHeight="1" x14ac:dyDescent="0.25">
      <c r="A274" s="173">
        <v>1189</v>
      </c>
      <c r="B274" s="175" t="s">
        <v>519</v>
      </c>
      <c r="C274" s="173">
        <v>2013</v>
      </c>
      <c r="D274" s="221" t="s">
        <v>29</v>
      </c>
      <c r="E274" s="175">
        <v>2015</v>
      </c>
      <c r="F274" s="175" t="s">
        <v>373</v>
      </c>
      <c r="G274" s="79">
        <v>3190</v>
      </c>
      <c r="H274" s="80" t="s">
        <v>520</v>
      </c>
      <c r="I274" s="161" t="s">
        <v>132</v>
      </c>
      <c r="J274" s="157">
        <v>202</v>
      </c>
      <c r="K274" s="157">
        <v>1655</v>
      </c>
      <c r="L274" s="87">
        <v>187.07</v>
      </c>
      <c r="M274" s="82"/>
      <c r="N274" s="83">
        <f>G274*L274</f>
        <v>596753.29999999993</v>
      </c>
      <c r="O274" s="84">
        <v>42158</v>
      </c>
      <c r="P274" s="25"/>
    </row>
    <row r="275" spans="1:66" s="26" customFormat="1" ht="28.2" customHeight="1" x14ac:dyDescent="0.25">
      <c r="A275" s="180"/>
      <c r="B275" s="176"/>
      <c r="C275" s="174"/>
      <c r="D275" s="215"/>
      <c r="E275" s="176"/>
      <c r="F275" s="176"/>
      <c r="G275" s="79">
        <f>N275/L275</f>
        <v>508.46044635654749</v>
      </c>
      <c r="H275" s="80" t="s">
        <v>526</v>
      </c>
      <c r="I275" s="164"/>
      <c r="J275" s="151"/>
      <c r="K275" s="151"/>
      <c r="L275" s="87">
        <v>185.95</v>
      </c>
      <c r="M275" s="82">
        <v>213.91</v>
      </c>
      <c r="N275" s="83">
        <f>442*M275</f>
        <v>94548.22</v>
      </c>
      <c r="O275" s="84">
        <v>42159</v>
      </c>
      <c r="P275" s="25"/>
    </row>
    <row r="276" spans="1:66" s="26" customFormat="1" ht="44.4" customHeight="1" x14ac:dyDescent="0.25">
      <c r="A276" s="93"/>
      <c r="B276" s="90" t="s">
        <v>36</v>
      </c>
      <c r="C276" s="93">
        <v>2011</v>
      </c>
      <c r="D276" s="116" t="s">
        <v>29</v>
      </c>
      <c r="E276" s="90" t="s">
        <v>183</v>
      </c>
      <c r="F276" s="90" t="s">
        <v>469</v>
      </c>
      <c r="G276" s="79">
        <f>N276/L276</f>
        <v>3776.4990588867977</v>
      </c>
      <c r="H276" s="80" t="s">
        <v>354</v>
      </c>
      <c r="I276" s="91" t="s">
        <v>27</v>
      </c>
      <c r="J276" s="87">
        <v>203</v>
      </c>
      <c r="K276" s="87">
        <v>1656</v>
      </c>
      <c r="L276" s="87">
        <v>185.95</v>
      </c>
      <c r="M276" s="82">
        <v>30.4</v>
      </c>
      <c r="N276" s="83">
        <f>23100*M276</f>
        <v>702240</v>
      </c>
      <c r="O276" s="84">
        <v>42158</v>
      </c>
      <c r="P276" s="25"/>
    </row>
    <row r="277" spans="1:66" s="71" customFormat="1" ht="40.200000000000003" customHeight="1" x14ac:dyDescent="0.25">
      <c r="A277" s="173"/>
      <c r="B277" s="175" t="s">
        <v>71</v>
      </c>
      <c r="C277" s="173">
        <v>2000</v>
      </c>
      <c r="D277" s="177" t="s">
        <v>514</v>
      </c>
      <c r="E277" s="175" t="s">
        <v>522</v>
      </c>
      <c r="F277" s="175" t="s">
        <v>102</v>
      </c>
      <c r="G277" s="79">
        <v>9000</v>
      </c>
      <c r="H277" s="80" t="s">
        <v>47</v>
      </c>
      <c r="I277" s="161" t="s">
        <v>1084</v>
      </c>
      <c r="J277" s="157">
        <v>204</v>
      </c>
      <c r="K277" s="157">
        <v>1657</v>
      </c>
      <c r="L277" s="87">
        <v>187.07</v>
      </c>
      <c r="M277" s="82"/>
      <c r="N277" s="83">
        <f t="shared" ref="N277:N282" si="18">G277*L277</f>
        <v>1683630</v>
      </c>
      <c r="O277" s="84">
        <v>42158</v>
      </c>
      <c r="P277" s="25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</row>
    <row r="278" spans="1:66" s="71" customFormat="1" ht="40.950000000000003" customHeight="1" x14ac:dyDescent="0.25">
      <c r="A278" s="190"/>
      <c r="B278" s="181"/>
      <c r="C278" s="179"/>
      <c r="D278" s="220"/>
      <c r="E278" s="181"/>
      <c r="F278" s="181"/>
      <c r="G278" s="79">
        <v>6500</v>
      </c>
      <c r="H278" s="80" t="s">
        <v>112</v>
      </c>
      <c r="I278" s="172"/>
      <c r="J278" s="165"/>
      <c r="K278" s="165"/>
      <c r="L278" s="87">
        <v>187.07</v>
      </c>
      <c r="M278" s="82"/>
      <c r="N278" s="83">
        <f t="shared" si="18"/>
        <v>1215955</v>
      </c>
      <c r="O278" s="84">
        <v>42159</v>
      </c>
      <c r="P278" s="25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</row>
    <row r="279" spans="1:66" s="71" customFormat="1" ht="37.950000000000003" customHeight="1" x14ac:dyDescent="0.25">
      <c r="A279" s="180"/>
      <c r="B279" s="178"/>
      <c r="C279" s="180"/>
      <c r="D279" s="178"/>
      <c r="E279" s="178"/>
      <c r="F279" s="178"/>
      <c r="G279" s="79">
        <v>12800</v>
      </c>
      <c r="H279" s="80" t="s">
        <v>1085</v>
      </c>
      <c r="I279" s="164"/>
      <c r="J279" s="151"/>
      <c r="K279" s="151"/>
      <c r="L279" s="87">
        <v>187.07</v>
      </c>
      <c r="M279" s="82"/>
      <c r="N279" s="83">
        <f t="shared" si="18"/>
        <v>2394496</v>
      </c>
      <c r="O279" s="84">
        <v>42159</v>
      </c>
      <c r="P279" s="25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</row>
    <row r="280" spans="1:66" s="26" customFormat="1" ht="76.2" customHeight="1" x14ac:dyDescent="0.25">
      <c r="A280" s="93"/>
      <c r="B280" s="90" t="s">
        <v>281</v>
      </c>
      <c r="C280" s="93">
        <v>2009</v>
      </c>
      <c r="D280" s="113" t="s">
        <v>451</v>
      </c>
      <c r="E280" s="90" t="s">
        <v>197</v>
      </c>
      <c r="F280" s="78" t="s">
        <v>102</v>
      </c>
      <c r="G280" s="79">
        <v>1200</v>
      </c>
      <c r="H280" s="80" t="s">
        <v>523</v>
      </c>
      <c r="I280" s="91" t="s">
        <v>132</v>
      </c>
      <c r="J280" s="87"/>
      <c r="K280" s="87"/>
      <c r="L280" s="87">
        <v>187.07</v>
      </c>
      <c r="M280" s="82"/>
      <c r="N280" s="83">
        <f t="shared" si="18"/>
        <v>224484</v>
      </c>
      <c r="O280" s="84">
        <v>42158</v>
      </c>
      <c r="P280" s="25"/>
    </row>
    <row r="281" spans="1:66" s="71" customFormat="1" ht="103.95" customHeight="1" x14ac:dyDescent="0.25">
      <c r="A281" s="173">
        <v>1190</v>
      </c>
      <c r="B281" s="175" t="s">
        <v>524</v>
      </c>
      <c r="C281" s="173">
        <v>2005</v>
      </c>
      <c r="D281" s="177" t="s">
        <v>525</v>
      </c>
      <c r="E281" s="175">
        <v>2015</v>
      </c>
      <c r="F281" s="175" t="s">
        <v>290</v>
      </c>
      <c r="G281" s="79">
        <v>9000</v>
      </c>
      <c r="H281" s="80" t="s">
        <v>47</v>
      </c>
      <c r="I281" s="161" t="s">
        <v>531</v>
      </c>
      <c r="J281" s="157">
        <v>205</v>
      </c>
      <c r="K281" s="157">
        <v>1658</v>
      </c>
      <c r="L281" s="87">
        <v>187.07</v>
      </c>
      <c r="M281" s="82"/>
      <c r="N281" s="83">
        <f t="shared" si="18"/>
        <v>1683630</v>
      </c>
      <c r="O281" s="84">
        <v>42158</v>
      </c>
      <c r="P281" s="25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</row>
    <row r="282" spans="1:66" s="71" customFormat="1" ht="34.200000000000003" customHeight="1" x14ac:dyDescent="0.25">
      <c r="A282" s="174"/>
      <c r="B282" s="176"/>
      <c r="C282" s="174"/>
      <c r="D282" s="178"/>
      <c r="E282" s="176"/>
      <c r="F282" s="178"/>
      <c r="G282" s="79">
        <v>9000</v>
      </c>
      <c r="H282" s="80" t="s">
        <v>47</v>
      </c>
      <c r="I282" s="164"/>
      <c r="J282" s="158"/>
      <c r="K282" s="158"/>
      <c r="L282" s="87">
        <v>187.07</v>
      </c>
      <c r="M282" s="82"/>
      <c r="N282" s="83">
        <f t="shared" si="18"/>
        <v>1683630</v>
      </c>
      <c r="O282" s="84">
        <v>42159</v>
      </c>
      <c r="P282" s="25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</row>
    <row r="283" spans="1:66" s="26" customFormat="1" ht="37.950000000000003" customHeight="1" x14ac:dyDescent="0.25">
      <c r="A283" s="93">
        <v>1191</v>
      </c>
      <c r="B283" s="90" t="s">
        <v>529</v>
      </c>
      <c r="C283" s="93">
        <v>2004</v>
      </c>
      <c r="D283" s="112" t="s">
        <v>29</v>
      </c>
      <c r="E283" s="90">
        <v>2015</v>
      </c>
      <c r="F283" s="142" t="s">
        <v>530</v>
      </c>
      <c r="G283" s="79">
        <f>N283/L283</f>
        <v>1730.5834901855339</v>
      </c>
      <c r="H283" s="80" t="s">
        <v>1071</v>
      </c>
      <c r="I283" s="117" t="s">
        <v>27</v>
      </c>
      <c r="J283" s="87">
        <v>206</v>
      </c>
      <c r="K283" s="87">
        <v>1659</v>
      </c>
      <c r="L283" s="87">
        <v>185.95</v>
      </c>
      <c r="M283" s="82"/>
      <c r="N283" s="83">
        <v>321802</v>
      </c>
      <c r="O283" s="84">
        <v>42158</v>
      </c>
      <c r="P283" s="25"/>
    </row>
    <row r="284" spans="1:66" s="26" customFormat="1" ht="142.94999999999999" customHeight="1" x14ac:dyDescent="0.25">
      <c r="A284" s="93"/>
      <c r="B284" s="90" t="s">
        <v>53</v>
      </c>
      <c r="C284" s="93">
        <v>2011</v>
      </c>
      <c r="D284" s="113" t="s">
        <v>527</v>
      </c>
      <c r="E284" s="90" t="s">
        <v>429</v>
      </c>
      <c r="F284" s="78" t="s">
        <v>102</v>
      </c>
      <c r="G284" s="79">
        <v>8000</v>
      </c>
      <c r="H284" s="80" t="s">
        <v>141</v>
      </c>
      <c r="I284" s="117" t="s">
        <v>132</v>
      </c>
      <c r="J284" s="87">
        <v>207</v>
      </c>
      <c r="K284" s="87">
        <v>1660</v>
      </c>
      <c r="L284" s="87">
        <v>183.78</v>
      </c>
      <c r="M284" s="82"/>
      <c r="N284" s="83">
        <f>G284*L284</f>
        <v>1470240</v>
      </c>
      <c r="O284" s="84">
        <v>42159</v>
      </c>
      <c r="P284" s="25"/>
    </row>
    <row r="285" spans="1:66" s="26" customFormat="1" ht="49.2" customHeight="1" x14ac:dyDescent="0.25">
      <c r="A285" s="93"/>
      <c r="B285" s="90" t="s">
        <v>138</v>
      </c>
      <c r="C285" s="93">
        <v>2011</v>
      </c>
      <c r="D285" s="118" t="s">
        <v>528</v>
      </c>
      <c r="E285" s="90" t="s">
        <v>197</v>
      </c>
      <c r="F285" s="90" t="s">
        <v>406</v>
      </c>
      <c r="G285" s="79">
        <f>N285/L285</f>
        <v>288.2607152460339</v>
      </c>
      <c r="H285" s="80" t="s">
        <v>1021</v>
      </c>
      <c r="I285" s="91" t="s">
        <v>132</v>
      </c>
      <c r="J285" s="87"/>
      <c r="K285" s="87"/>
      <c r="L285" s="87">
        <v>185.95</v>
      </c>
      <c r="M285" s="82">
        <v>3.5615999999999999</v>
      </c>
      <c r="N285" s="83">
        <f>15050*M285</f>
        <v>53602.080000000002</v>
      </c>
      <c r="O285" s="84">
        <v>42159</v>
      </c>
      <c r="P285" s="25"/>
    </row>
    <row r="286" spans="1:66" s="26" customFormat="1" ht="43.95" customHeight="1" x14ac:dyDescent="0.25">
      <c r="A286" s="93">
        <v>1192</v>
      </c>
      <c r="B286" s="90" t="s">
        <v>532</v>
      </c>
      <c r="C286" s="93">
        <v>2010</v>
      </c>
      <c r="D286" s="119" t="s">
        <v>29</v>
      </c>
      <c r="E286" s="90">
        <v>2015</v>
      </c>
      <c r="F286" s="90" t="s">
        <v>313</v>
      </c>
      <c r="G286" s="79">
        <f>N286/L286</f>
        <v>2417.4728421618715</v>
      </c>
      <c r="H286" s="80" t="s">
        <v>533</v>
      </c>
      <c r="I286" s="91" t="s">
        <v>27</v>
      </c>
      <c r="J286" s="87">
        <v>208</v>
      </c>
      <c r="K286" s="87">
        <v>1661</v>
      </c>
      <c r="L286" s="87">
        <v>185.95</v>
      </c>
      <c r="M286" s="82">
        <v>3.5051000000000001</v>
      </c>
      <c r="N286" s="83">
        <f>128250*M286</f>
        <v>449529.07500000001</v>
      </c>
      <c r="O286" s="84">
        <v>42163</v>
      </c>
      <c r="P286" s="25"/>
    </row>
    <row r="287" spans="1:66" s="71" customFormat="1" ht="74.400000000000006" customHeight="1" x14ac:dyDescent="0.25">
      <c r="A287" s="93"/>
      <c r="B287" s="90" t="s">
        <v>75</v>
      </c>
      <c r="C287" s="93">
        <v>2007</v>
      </c>
      <c r="D287" s="119" t="s">
        <v>29</v>
      </c>
      <c r="E287" s="90" t="s">
        <v>183</v>
      </c>
      <c r="F287" s="90" t="s">
        <v>352</v>
      </c>
      <c r="G287" s="79">
        <v>2193</v>
      </c>
      <c r="H287" s="80" t="s">
        <v>1077</v>
      </c>
      <c r="I287" s="91" t="s">
        <v>531</v>
      </c>
      <c r="J287" s="87">
        <v>209</v>
      </c>
      <c r="K287" s="87">
        <v>1662</v>
      </c>
      <c r="L287" s="87">
        <v>183.78</v>
      </c>
      <c r="M287" s="82"/>
      <c r="N287" s="83">
        <f>G287*L287</f>
        <v>403029.54</v>
      </c>
      <c r="O287" s="84">
        <v>42163</v>
      </c>
      <c r="P287" s="25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</row>
    <row r="288" spans="1:66" s="71" customFormat="1" ht="82.2" customHeight="1" x14ac:dyDescent="0.25">
      <c r="A288" s="93"/>
      <c r="B288" s="90" t="s">
        <v>534</v>
      </c>
      <c r="C288" s="93">
        <v>2007</v>
      </c>
      <c r="D288" s="119" t="s">
        <v>29</v>
      </c>
      <c r="E288" s="90" t="s">
        <v>183</v>
      </c>
      <c r="F288" s="90" t="s">
        <v>352</v>
      </c>
      <c r="G288" s="79">
        <v>1820</v>
      </c>
      <c r="H288" s="80" t="s">
        <v>1078</v>
      </c>
      <c r="I288" s="91" t="s">
        <v>531</v>
      </c>
      <c r="J288" s="87">
        <v>210</v>
      </c>
      <c r="K288" s="87">
        <v>1663</v>
      </c>
      <c r="L288" s="87">
        <v>183.78</v>
      </c>
      <c r="M288" s="82"/>
      <c r="N288" s="83">
        <f>G288*L288</f>
        <v>334479.59999999998</v>
      </c>
      <c r="O288" s="84">
        <v>42163</v>
      </c>
      <c r="P288" s="25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</row>
    <row r="289" spans="1:66" s="71" customFormat="1" ht="76.2" customHeight="1" x14ac:dyDescent="0.25">
      <c r="A289" s="93"/>
      <c r="B289" s="90" t="s">
        <v>116</v>
      </c>
      <c r="C289" s="93">
        <v>2011</v>
      </c>
      <c r="D289" s="119" t="s">
        <v>29</v>
      </c>
      <c r="E289" s="90" t="s">
        <v>181</v>
      </c>
      <c r="F289" s="78" t="s">
        <v>373</v>
      </c>
      <c r="G289" s="79">
        <f t="shared" ref="G289:G295" si="19">N289/L289</f>
        <v>3963.9376511690402</v>
      </c>
      <c r="H289" s="80" t="s">
        <v>535</v>
      </c>
      <c r="I289" s="91" t="s">
        <v>531</v>
      </c>
      <c r="J289" s="87">
        <v>211</v>
      </c>
      <c r="K289" s="87">
        <v>1664</v>
      </c>
      <c r="L289" s="87">
        <v>186.05</v>
      </c>
      <c r="M289" s="82">
        <v>212.84</v>
      </c>
      <c r="N289" s="83">
        <f>3465*M289</f>
        <v>737490.6</v>
      </c>
      <c r="O289" s="84">
        <v>42171</v>
      </c>
      <c r="P289" s="25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</row>
    <row r="290" spans="1:66" s="71" customFormat="1" ht="79.2" customHeight="1" x14ac:dyDescent="0.25">
      <c r="A290" s="93"/>
      <c r="B290" s="90" t="s">
        <v>117</v>
      </c>
      <c r="C290" s="93">
        <v>2011</v>
      </c>
      <c r="D290" s="119" t="s">
        <v>29</v>
      </c>
      <c r="E290" s="90" t="s">
        <v>181</v>
      </c>
      <c r="F290" s="78" t="s">
        <v>373</v>
      </c>
      <c r="G290" s="79">
        <f t="shared" si="19"/>
        <v>4301.4157484547168</v>
      </c>
      <c r="H290" s="80" t="s">
        <v>536</v>
      </c>
      <c r="I290" s="91" t="s">
        <v>531</v>
      </c>
      <c r="J290" s="87">
        <v>212</v>
      </c>
      <c r="K290" s="87">
        <v>1665</v>
      </c>
      <c r="L290" s="87">
        <v>186.05</v>
      </c>
      <c r="M290" s="82">
        <v>212.84</v>
      </c>
      <c r="N290" s="83">
        <f>3760*M290</f>
        <v>800278.4</v>
      </c>
      <c r="O290" s="84">
        <v>42171</v>
      </c>
      <c r="P290" s="25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</row>
    <row r="291" spans="1:66" s="26" customFormat="1" ht="48" customHeight="1" x14ac:dyDescent="0.25">
      <c r="A291" s="93">
        <v>1193</v>
      </c>
      <c r="B291" s="90" t="s">
        <v>537</v>
      </c>
      <c r="C291" s="93">
        <v>2014</v>
      </c>
      <c r="D291" s="78" t="s">
        <v>59</v>
      </c>
      <c r="E291" s="90">
        <v>2015</v>
      </c>
      <c r="F291" s="78" t="s">
        <v>155</v>
      </c>
      <c r="G291" s="79">
        <f t="shared" si="19"/>
        <v>1884.0220518301533</v>
      </c>
      <c r="H291" s="80" t="s">
        <v>538</v>
      </c>
      <c r="I291" s="91" t="s">
        <v>132</v>
      </c>
      <c r="J291" s="87">
        <v>213</v>
      </c>
      <c r="K291" s="87">
        <v>1666</v>
      </c>
      <c r="L291" s="87">
        <v>186.05</v>
      </c>
      <c r="M291" s="82">
        <v>3.5907</v>
      </c>
      <c r="N291" s="83">
        <f>97619.49*M291</f>
        <v>350522.30274300004</v>
      </c>
      <c r="O291" s="84">
        <v>42171</v>
      </c>
      <c r="P291" s="25"/>
    </row>
    <row r="292" spans="1:66" s="26" customFormat="1" ht="47.4" customHeight="1" x14ac:dyDescent="0.25">
      <c r="A292" s="93"/>
      <c r="B292" s="90" t="s">
        <v>276</v>
      </c>
      <c r="C292" s="93">
        <v>2014</v>
      </c>
      <c r="D292" s="78" t="s">
        <v>59</v>
      </c>
      <c r="E292" s="90" t="s">
        <v>195</v>
      </c>
      <c r="F292" s="78" t="s">
        <v>155</v>
      </c>
      <c r="G292" s="79">
        <f t="shared" si="19"/>
        <v>1636.0794401666219</v>
      </c>
      <c r="H292" s="80" t="s">
        <v>539</v>
      </c>
      <c r="I292" s="91" t="s">
        <v>132</v>
      </c>
      <c r="J292" s="87">
        <v>214</v>
      </c>
      <c r="K292" s="87">
        <v>1667</v>
      </c>
      <c r="L292" s="87">
        <v>186.05</v>
      </c>
      <c r="M292" s="82">
        <v>3.5907</v>
      </c>
      <c r="N292" s="83">
        <f>84772.49*M292</f>
        <v>304392.57984300004</v>
      </c>
      <c r="O292" s="84">
        <v>42171</v>
      </c>
      <c r="P292" s="25"/>
    </row>
    <row r="293" spans="1:66" s="26" customFormat="1" ht="45" customHeight="1" x14ac:dyDescent="0.25">
      <c r="A293" s="93">
        <v>1194</v>
      </c>
      <c r="B293" s="90" t="s">
        <v>540</v>
      </c>
      <c r="C293" s="93">
        <v>2007</v>
      </c>
      <c r="D293" s="119" t="s">
        <v>29</v>
      </c>
      <c r="E293" s="90">
        <v>2015</v>
      </c>
      <c r="F293" s="78" t="s">
        <v>105</v>
      </c>
      <c r="G293" s="79">
        <f t="shared" si="19"/>
        <v>2499.3047567858102</v>
      </c>
      <c r="H293" s="80" t="s">
        <v>541</v>
      </c>
      <c r="I293" s="91" t="s">
        <v>27</v>
      </c>
      <c r="J293" s="87">
        <v>215</v>
      </c>
      <c r="K293" s="87">
        <v>1668</v>
      </c>
      <c r="L293" s="87">
        <v>186.05</v>
      </c>
      <c r="M293" s="82">
        <v>3.5907</v>
      </c>
      <c r="N293" s="83">
        <f>129500*M293</f>
        <v>464995.65</v>
      </c>
      <c r="O293" s="84">
        <v>42171</v>
      </c>
      <c r="P293" s="25"/>
    </row>
    <row r="294" spans="1:66" s="26" customFormat="1" ht="40.950000000000003" customHeight="1" x14ac:dyDescent="0.25">
      <c r="A294" s="93">
        <v>1195</v>
      </c>
      <c r="B294" s="90" t="s">
        <v>542</v>
      </c>
      <c r="C294" s="93">
        <v>2011</v>
      </c>
      <c r="D294" s="119" t="s">
        <v>29</v>
      </c>
      <c r="E294" s="90">
        <v>2015</v>
      </c>
      <c r="F294" s="91" t="s">
        <v>145</v>
      </c>
      <c r="G294" s="79">
        <f t="shared" si="19"/>
        <v>2617.0326256382691</v>
      </c>
      <c r="H294" s="80" t="s">
        <v>543</v>
      </c>
      <c r="I294" s="91" t="s">
        <v>27</v>
      </c>
      <c r="J294" s="87">
        <v>216</v>
      </c>
      <c r="K294" s="87">
        <v>1669</v>
      </c>
      <c r="L294" s="87">
        <v>186.05</v>
      </c>
      <c r="M294" s="82">
        <v>3.5907</v>
      </c>
      <c r="N294" s="83">
        <f>135600*M294</f>
        <v>486898.92</v>
      </c>
      <c r="O294" s="84">
        <v>42171</v>
      </c>
      <c r="P294" s="25"/>
    </row>
    <row r="295" spans="1:66" s="26" customFormat="1" ht="46.2" customHeight="1" x14ac:dyDescent="0.25">
      <c r="A295" s="93">
        <v>1196</v>
      </c>
      <c r="B295" s="90" t="s">
        <v>544</v>
      </c>
      <c r="C295" s="93">
        <v>2013</v>
      </c>
      <c r="D295" s="119" t="s">
        <v>29</v>
      </c>
      <c r="E295" s="90">
        <v>2015</v>
      </c>
      <c r="F295" s="90" t="s">
        <v>329</v>
      </c>
      <c r="G295" s="79">
        <f t="shared" si="19"/>
        <v>2493.5148615963449</v>
      </c>
      <c r="H295" s="80" t="s">
        <v>545</v>
      </c>
      <c r="I295" s="91" t="s">
        <v>27</v>
      </c>
      <c r="J295" s="87">
        <v>217</v>
      </c>
      <c r="K295" s="87">
        <v>1670</v>
      </c>
      <c r="L295" s="87">
        <v>186.05</v>
      </c>
      <c r="M295" s="82">
        <v>3.5907</v>
      </c>
      <c r="N295" s="83">
        <f>129200*M295</f>
        <v>463918.44</v>
      </c>
      <c r="O295" s="84">
        <v>42171</v>
      </c>
      <c r="P295" s="25"/>
    </row>
    <row r="296" spans="1:66" s="26" customFormat="1" ht="43.95" customHeight="1" x14ac:dyDescent="0.25">
      <c r="A296" s="93">
        <v>1197</v>
      </c>
      <c r="B296" s="90" t="s">
        <v>546</v>
      </c>
      <c r="C296" s="93">
        <v>2012</v>
      </c>
      <c r="D296" s="119" t="s">
        <v>29</v>
      </c>
      <c r="E296" s="90">
        <v>2015</v>
      </c>
      <c r="F296" s="90" t="s">
        <v>469</v>
      </c>
      <c r="G296" s="79">
        <f>N296/L296</f>
        <v>3769.5028218220905</v>
      </c>
      <c r="H296" s="80" t="s">
        <v>354</v>
      </c>
      <c r="I296" s="91" t="s">
        <v>27</v>
      </c>
      <c r="J296" s="87">
        <v>218</v>
      </c>
      <c r="K296" s="87">
        <v>1671</v>
      </c>
      <c r="L296" s="87">
        <v>186.05</v>
      </c>
      <c r="M296" s="82">
        <v>30.36</v>
      </c>
      <c r="N296" s="83">
        <f>23100*M296</f>
        <v>701316</v>
      </c>
      <c r="O296" s="84">
        <v>42171</v>
      </c>
      <c r="P296" s="25"/>
    </row>
    <row r="297" spans="1:66" s="26" customFormat="1" ht="60" customHeight="1" x14ac:dyDescent="0.25">
      <c r="A297" s="93">
        <v>1198</v>
      </c>
      <c r="B297" s="90" t="s">
        <v>547</v>
      </c>
      <c r="C297" s="93">
        <v>2014</v>
      </c>
      <c r="D297" s="119" t="s">
        <v>29</v>
      </c>
      <c r="E297" s="90">
        <v>2015</v>
      </c>
      <c r="F297" s="78" t="s">
        <v>373</v>
      </c>
      <c r="G297" s="79">
        <f>N297/L297</f>
        <v>4568.8294544477285</v>
      </c>
      <c r="H297" s="80" t="s">
        <v>548</v>
      </c>
      <c r="I297" s="91" t="s">
        <v>27</v>
      </c>
      <c r="J297" s="87">
        <v>219</v>
      </c>
      <c r="K297" s="87">
        <v>1672</v>
      </c>
      <c r="L297" s="87">
        <v>186.05</v>
      </c>
      <c r="M297" s="82">
        <v>210.56</v>
      </c>
      <c r="N297" s="83">
        <f>4037*M297</f>
        <v>850030.72</v>
      </c>
      <c r="O297" s="84">
        <v>42172</v>
      </c>
      <c r="P297" s="25"/>
    </row>
    <row r="298" spans="1:66" s="27" customFormat="1" ht="32.4" customHeight="1" x14ac:dyDescent="0.25">
      <c r="A298" s="173"/>
      <c r="B298" s="175" t="s">
        <v>156</v>
      </c>
      <c r="C298" s="173">
        <v>1999</v>
      </c>
      <c r="D298" s="177" t="s">
        <v>521</v>
      </c>
      <c r="E298" s="175" t="s">
        <v>197</v>
      </c>
      <c r="F298" s="175" t="s">
        <v>102</v>
      </c>
      <c r="G298" s="153">
        <v>1300</v>
      </c>
      <c r="H298" s="155" t="s">
        <v>74</v>
      </c>
      <c r="I298" s="161" t="s">
        <v>27</v>
      </c>
      <c r="J298" s="157"/>
      <c r="K298" s="157"/>
      <c r="L298" s="157">
        <v>186.59</v>
      </c>
      <c r="M298" s="145"/>
      <c r="N298" s="159">
        <f>G298*L298</f>
        <v>242567</v>
      </c>
      <c r="O298" s="149">
        <v>42173</v>
      </c>
      <c r="P298" s="25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</row>
    <row r="299" spans="1:66" s="27" customFormat="1" ht="16.95" customHeight="1" x14ac:dyDescent="0.25">
      <c r="A299" s="180"/>
      <c r="B299" s="176"/>
      <c r="C299" s="174"/>
      <c r="D299" s="187"/>
      <c r="E299" s="176"/>
      <c r="F299" s="176"/>
      <c r="G299" s="212"/>
      <c r="H299" s="213"/>
      <c r="I299" s="164"/>
      <c r="J299" s="151"/>
      <c r="K299" s="151"/>
      <c r="L299" s="151"/>
      <c r="M299" s="146"/>
      <c r="N299" s="222"/>
      <c r="O299" s="152"/>
      <c r="P299" s="25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</row>
    <row r="300" spans="1:66" s="71" customFormat="1" ht="126.6" customHeight="1" x14ac:dyDescent="0.25">
      <c r="A300" s="93"/>
      <c r="B300" s="90" t="s">
        <v>524</v>
      </c>
      <c r="C300" s="93">
        <v>2005</v>
      </c>
      <c r="D300" s="113" t="s">
        <v>525</v>
      </c>
      <c r="E300" s="90" t="s">
        <v>197</v>
      </c>
      <c r="F300" s="78" t="s">
        <v>290</v>
      </c>
      <c r="G300" s="79">
        <v>9000</v>
      </c>
      <c r="H300" s="80" t="s">
        <v>47</v>
      </c>
      <c r="I300" s="91" t="s">
        <v>132</v>
      </c>
      <c r="J300" s="87"/>
      <c r="K300" s="87"/>
      <c r="L300" s="87">
        <v>183.78</v>
      </c>
      <c r="M300" s="82"/>
      <c r="N300" s="120">
        <f>G300*L300</f>
        <v>1654020</v>
      </c>
      <c r="O300" s="84">
        <v>42172</v>
      </c>
      <c r="P300" s="25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</row>
    <row r="301" spans="1:66" s="26" customFormat="1" ht="50.4" customHeight="1" x14ac:dyDescent="0.25">
      <c r="A301" s="93">
        <v>1199</v>
      </c>
      <c r="B301" s="90" t="s">
        <v>549</v>
      </c>
      <c r="C301" s="93">
        <v>2008</v>
      </c>
      <c r="D301" s="121" t="s">
        <v>29</v>
      </c>
      <c r="E301" s="90">
        <v>2015</v>
      </c>
      <c r="F301" s="90" t="s">
        <v>469</v>
      </c>
      <c r="G301" s="79">
        <f>N301/L301</f>
        <v>3445.0892233270624</v>
      </c>
      <c r="H301" s="80" t="s">
        <v>1036</v>
      </c>
      <c r="I301" s="91" t="s">
        <v>27</v>
      </c>
      <c r="J301" s="87">
        <v>220</v>
      </c>
      <c r="K301" s="87">
        <v>1673</v>
      </c>
      <c r="L301" s="87">
        <v>186.05</v>
      </c>
      <c r="M301" s="82">
        <v>30.37</v>
      </c>
      <c r="N301" s="83">
        <f>21105*M301</f>
        <v>640958.85</v>
      </c>
      <c r="O301" s="84">
        <v>42173</v>
      </c>
      <c r="P301" s="25"/>
    </row>
    <row r="302" spans="1:66" s="26" customFormat="1" ht="60.6" customHeight="1" x14ac:dyDescent="0.25">
      <c r="A302" s="93">
        <v>1200</v>
      </c>
      <c r="B302" s="90" t="s">
        <v>551</v>
      </c>
      <c r="C302" s="93">
        <v>2012</v>
      </c>
      <c r="D302" s="121" t="s">
        <v>29</v>
      </c>
      <c r="E302" s="90">
        <v>2015</v>
      </c>
      <c r="F302" s="90" t="s">
        <v>456</v>
      </c>
      <c r="G302" s="79">
        <v>3998</v>
      </c>
      <c r="H302" s="80" t="s">
        <v>231</v>
      </c>
      <c r="I302" s="91" t="s">
        <v>27</v>
      </c>
      <c r="J302" s="87">
        <v>221</v>
      </c>
      <c r="K302" s="87">
        <v>1674</v>
      </c>
      <c r="L302" s="87">
        <v>186.59</v>
      </c>
      <c r="M302" s="82"/>
      <c r="N302" s="83">
        <f>G302*L302</f>
        <v>745986.82000000007</v>
      </c>
      <c r="O302" s="84">
        <v>42173</v>
      </c>
      <c r="P302" s="25"/>
    </row>
    <row r="303" spans="1:66" s="72" customFormat="1" ht="73.95" customHeight="1" x14ac:dyDescent="0.25">
      <c r="A303" s="77">
        <v>1201</v>
      </c>
      <c r="B303" s="78" t="s">
        <v>553</v>
      </c>
      <c r="C303" s="78">
        <v>1999</v>
      </c>
      <c r="D303" s="113" t="s">
        <v>554</v>
      </c>
      <c r="E303" s="78">
        <v>2015</v>
      </c>
      <c r="F303" s="78" t="s">
        <v>555</v>
      </c>
      <c r="G303" s="80">
        <f>N303/L303</f>
        <v>1263.942233808116</v>
      </c>
      <c r="H303" s="80" t="s">
        <v>556</v>
      </c>
      <c r="I303" s="85" t="s">
        <v>132</v>
      </c>
      <c r="J303" s="81">
        <v>222</v>
      </c>
      <c r="K303" s="81">
        <v>1675</v>
      </c>
      <c r="L303" s="122" t="s">
        <v>557</v>
      </c>
      <c r="M303" s="123" t="s">
        <v>558</v>
      </c>
      <c r="N303" s="83">
        <f>1103.71*M303</f>
        <v>235156.45260000002</v>
      </c>
      <c r="O303" s="84">
        <v>42173</v>
      </c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</row>
    <row r="304" spans="1:66" s="26" customFormat="1" ht="72.599999999999994" customHeight="1" x14ac:dyDescent="0.25">
      <c r="A304" s="93"/>
      <c r="B304" s="90" t="s">
        <v>15</v>
      </c>
      <c r="C304" s="93">
        <v>2010</v>
      </c>
      <c r="D304" s="90" t="s">
        <v>16</v>
      </c>
      <c r="E304" s="90" t="s">
        <v>559</v>
      </c>
      <c r="F304" s="78" t="s">
        <v>560</v>
      </c>
      <c r="G304" s="86">
        <f>N304/L304</f>
        <v>183.33310400429988</v>
      </c>
      <c r="H304" s="80" t="s">
        <v>561</v>
      </c>
      <c r="I304" s="91" t="s">
        <v>132</v>
      </c>
      <c r="J304" s="87">
        <v>223</v>
      </c>
      <c r="K304" s="87">
        <v>1676</v>
      </c>
      <c r="L304" s="87">
        <v>186.05</v>
      </c>
      <c r="M304" s="88">
        <v>3.5678999999999998</v>
      </c>
      <c r="N304" s="124">
        <f>9560*M304</f>
        <v>34109.123999999996</v>
      </c>
      <c r="O304" s="84">
        <v>42173</v>
      </c>
      <c r="P304" s="25"/>
    </row>
    <row r="305" spans="1:39" s="26" customFormat="1" ht="85.95" customHeight="1" x14ac:dyDescent="0.25">
      <c r="A305" s="93"/>
      <c r="B305" s="90" t="s">
        <v>515</v>
      </c>
      <c r="C305" s="93">
        <v>2009</v>
      </c>
      <c r="D305" s="113" t="s">
        <v>516</v>
      </c>
      <c r="E305" s="90" t="s">
        <v>197</v>
      </c>
      <c r="F305" s="78" t="s">
        <v>362</v>
      </c>
      <c r="G305" s="79">
        <v>3236</v>
      </c>
      <c r="H305" s="80" t="s">
        <v>562</v>
      </c>
      <c r="I305" s="91" t="s">
        <v>132</v>
      </c>
      <c r="J305" s="87"/>
      <c r="K305" s="87"/>
      <c r="L305" s="87">
        <v>183.78</v>
      </c>
      <c r="M305" s="82"/>
      <c r="N305" s="125">
        <f>G305*L305</f>
        <v>594712.07999999996</v>
      </c>
      <c r="O305" s="84">
        <v>42174</v>
      </c>
      <c r="P305" s="25"/>
    </row>
    <row r="306" spans="1:39" s="26" customFormat="1" ht="71.400000000000006" customHeight="1" x14ac:dyDescent="0.25">
      <c r="A306" s="93">
        <v>1202</v>
      </c>
      <c r="B306" s="90" t="s">
        <v>563</v>
      </c>
      <c r="C306" s="93">
        <v>2005</v>
      </c>
      <c r="D306" s="113" t="s">
        <v>564</v>
      </c>
      <c r="E306" s="90">
        <v>2015</v>
      </c>
      <c r="F306" s="78" t="s">
        <v>362</v>
      </c>
      <c r="G306" s="79">
        <v>5609</v>
      </c>
      <c r="H306" s="80" t="s">
        <v>1046</v>
      </c>
      <c r="I306" s="91" t="s">
        <v>132</v>
      </c>
      <c r="J306" s="87">
        <v>224</v>
      </c>
      <c r="K306" s="87">
        <v>1677</v>
      </c>
      <c r="L306" s="87">
        <v>183.78</v>
      </c>
      <c r="M306" s="82"/>
      <c r="N306" s="125">
        <f>G306*L306</f>
        <v>1030822.02</v>
      </c>
      <c r="O306" s="84">
        <v>42174</v>
      </c>
      <c r="P306" s="25"/>
    </row>
    <row r="307" spans="1:39" s="71" customFormat="1" ht="85.2" customHeight="1" x14ac:dyDescent="0.25">
      <c r="A307" s="93"/>
      <c r="B307" s="90" t="s">
        <v>64</v>
      </c>
      <c r="C307" s="93">
        <v>2010</v>
      </c>
      <c r="D307" s="113" t="s">
        <v>565</v>
      </c>
      <c r="E307" s="90" t="s">
        <v>195</v>
      </c>
      <c r="F307" s="78" t="s">
        <v>437</v>
      </c>
      <c r="G307" s="79">
        <v>3000</v>
      </c>
      <c r="H307" s="80" t="s">
        <v>81</v>
      </c>
      <c r="I307" s="85" t="s">
        <v>531</v>
      </c>
      <c r="J307" s="87">
        <v>225</v>
      </c>
      <c r="K307" s="87">
        <v>1678</v>
      </c>
      <c r="L307" s="87">
        <v>183.78</v>
      </c>
      <c r="M307" s="82"/>
      <c r="N307" s="125">
        <f>G307*L307</f>
        <v>551340</v>
      </c>
      <c r="O307" s="84">
        <v>42174</v>
      </c>
      <c r="P307" s="25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</row>
    <row r="308" spans="1:39" s="26" customFormat="1" ht="45" customHeight="1" x14ac:dyDescent="0.25">
      <c r="A308" s="93">
        <v>1203</v>
      </c>
      <c r="B308" s="90" t="s">
        <v>566</v>
      </c>
      <c r="C308" s="93">
        <v>2012</v>
      </c>
      <c r="D308" s="121" t="s">
        <v>29</v>
      </c>
      <c r="E308" s="90">
        <v>2015</v>
      </c>
      <c r="F308" s="90" t="s">
        <v>469</v>
      </c>
      <c r="G308" s="79">
        <f t="shared" ref="G308:G330" si="20">N308/L308</f>
        <v>3773.9097744360906</v>
      </c>
      <c r="H308" s="80" t="s">
        <v>354</v>
      </c>
      <c r="I308" s="91" t="s">
        <v>27</v>
      </c>
      <c r="J308" s="87">
        <v>226</v>
      </c>
      <c r="K308" s="87">
        <v>1679</v>
      </c>
      <c r="L308" s="87">
        <v>186.2</v>
      </c>
      <c r="M308" s="82">
        <v>30.42</v>
      </c>
      <c r="N308" s="125">
        <f t="shared" ref="N308:N316" si="21">23100*M308</f>
        <v>702702</v>
      </c>
      <c r="O308" s="84">
        <v>42180</v>
      </c>
      <c r="P308" s="25"/>
    </row>
    <row r="309" spans="1:39" s="26" customFormat="1" ht="45" customHeight="1" x14ac:dyDescent="0.25">
      <c r="A309" s="93">
        <v>1204</v>
      </c>
      <c r="B309" s="90" t="s">
        <v>567</v>
      </c>
      <c r="C309" s="93">
        <v>2008</v>
      </c>
      <c r="D309" s="126" t="s">
        <v>29</v>
      </c>
      <c r="E309" s="90">
        <v>2015</v>
      </c>
      <c r="F309" s="90" t="s">
        <v>469</v>
      </c>
      <c r="G309" s="79">
        <f t="shared" si="20"/>
        <v>3772.6691729323311</v>
      </c>
      <c r="H309" s="80" t="s">
        <v>354</v>
      </c>
      <c r="I309" s="91" t="s">
        <v>27</v>
      </c>
      <c r="J309" s="87">
        <v>227</v>
      </c>
      <c r="K309" s="87">
        <v>1680</v>
      </c>
      <c r="L309" s="87">
        <v>186.2</v>
      </c>
      <c r="M309" s="82">
        <v>30.41</v>
      </c>
      <c r="N309" s="125">
        <f t="shared" si="21"/>
        <v>702471</v>
      </c>
      <c r="O309" s="84">
        <v>42181</v>
      </c>
      <c r="P309" s="25"/>
    </row>
    <row r="310" spans="1:39" s="24" customFormat="1" ht="45" customHeight="1" x14ac:dyDescent="0.25">
      <c r="A310" s="93">
        <v>1205</v>
      </c>
      <c r="B310" s="90" t="s">
        <v>1104</v>
      </c>
      <c r="C310" s="93">
        <v>2006</v>
      </c>
      <c r="D310" s="126" t="s">
        <v>29</v>
      </c>
      <c r="E310" s="90">
        <v>2015</v>
      </c>
      <c r="F310" s="90" t="s">
        <v>469</v>
      </c>
      <c r="G310" s="79">
        <f t="shared" si="20"/>
        <v>3772.6691729323311</v>
      </c>
      <c r="H310" s="80" t="s">
        <v>354</v>
      </c>
      <c r="I310" s="91" t="s">
        <v>27</v>
      </c>
      <c r="J310" s="87">
        <v>228</v>
      </c>
      <c r="K310" s="87">
        <v>1681</v>
      </c>
      <c r="L310" s="87">
        <v>186.2</v>
      </c>
      <c r="M310" s="82">
        <v>30.41</v>
      </c>
      <c r="N310" s="125">
        <f t="shared" si="21"/>
        <v>702471</v>
      </c>
      <c r="O310" s="84">
        <v>42181</v>
      </c>
      <c r="P310" s="25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</row>
    <row r="311" spans="1:39" s="24" customFormat="1" ht="45" customHeight="1" x14ac:dyDescent="0.25">
      <c r="A311" s="93">
        <v>1206</v>
      </c>
      <c r="B311" s="90" t="s">
        <v>1109</v>
      </c>
      <c r="C311" s="93">
        <v>2008</v>
      </c>
      <c r="D311" s="126" t="s">
        <v>29</v>
      </c>
      <c r="E311" s="90">
        <v>2015</v>
      </c>
      <c r="F311" s="90" t="s">
        <v>469</v>
      </c>
      <c r="G311" s="79">
        <f>N311/L311</f>
        <v>3172.4718045112786</v>
      </c>
      <c r="H311" s="80" t="s">
        <v>1110</v>
      </c>
      <c r="I311" s="91" t="s">
        <v>27</v>
      </c>
      <c r="J311" s="87">
        <v>229</v>
      </c>
      <c r="K311" s="87">
        <v>1682</v>
      </c>
      <c r="L311" s="87">
        <v>186.2</v>
      </c>
      <c r="M311" s="82">
        <v>30.41</v>
      </c>
      <c r="N311" s="125">
        <f>19425*M311</f>
        <v>590714.25</v>
      </c>
      <c r="O311" s="84">
        <v>42177</v>
      </c>
      <c r="P311" s="25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</row>
    <row r="312" spans="1:39" s="26" customFormat="1" ht="45" customHeight="1" x14ac:dyDescent="0.25">
      <c r="A312" s="93">
        <v>1207</v>
      </c>
      <c r="B312" s="90" t="s">
        <v>568</v>
      </c>
      <c r="C312" s="93">
        <v>2004</v>
      </c>
      <c r="D312" s="126" t="s">
        <v>29</v>
      </c>
      <c r="E312" s="90">
        <v>2015</v>
      </c>
      <c r="F312" s="90" t="s">
        <v>469</v>
      </c>
      <c r="G312" s="79">
        <f t="shared" si="20"/>
        <v>3772.6691729323311</v>
      </c>
      <c r="H312" s="80" t="s">
        <v>354</v>
      </c>
      <c r="I312" s="91" t="s">
        <v>27</v>
      </c>
      <c r="J312" s="87">
        <v>230</v>
      </c>
      <c r="K312" s="87">
        <v>1683</v>
      </c>
      <c r="L312" s="87">
        <v>186.2</v>
      </c>
      <c r="M312" s="82">
        <v>30.41</v>
      </c>
      <c r="N312" s="125">
        <f t="shared" si="21"/>
        <v>702471</v>
      </c>
      <c r="O312" s="84">
        <v>42181</v>
      </c>
      <c r="P312" s="25"/>
    </row>
    <row r="313" spans="1:39" s="26" customFormat="1" ht="45" customHeight="1" x14ac:dyDescent="0.25">
      <c r="A313" s="93">
        <v>1208</v>
      </c>
      <c r="B313" s="90" t="s">
        <v>569</v>
      </c>
      <c r="C313" s="93">
        <v>2013</v>
      </c>
      <c r="D313" s="126" t="s">
        <v>29</v>
      </c>
      <c r="E313" s="90">
        <v>2015</v>
      </c>
      <c r="F313" s="90" t="s">
        <v>469</v>
      </c>
      <c r="G313" s="79">
        <f t="shared" si="20"/>
        <v>3771.4285714285716</v>
      </c>
      <c r="H313" s="80" t="s">
        <v>354</v>
      </c>
      <c r="I313" s="91" t="s">
        <v>27</v>
      </c>
      <c r="J313" s="87">
        <v>231</v>
      </c>
      <c r="K313" s="87">
        <v>1684</v>
      </c>
      <c r="L313" s="87">
        <v>186.2</v>
      </c>
      <c r="M313" s="82">
        <v>30.4</v>
      </c>
      <c r="N313" s="125">
        <f t="shared" si="21"/>
        <v>702240</v>
      </c>
      <c r="O313" s="84">
        <v>42181</v>
      </c>
      <c r="P313" s="25"/>
    </row>
    <row r="314" spans="1:39" s="26" customFormat="1" ht="45" customHeight="1" x14ac:dyDescent="0.25">
      <c r="A314" s="93">
        <v>1209</v>
      </c>
      <c r="B314" s="90" t="s">
        <v>570</v>
      </c>
      <c r="C314" s="93">
        <v>2013</v>
      </c>
      <c r="D314" s="126" t="s">
        <v>29</v>
      </c>
      <c r="E314" s="90">
        <v>2015</v>
      </c>
      <c r="F314" s="90" t="s">
        <v>469</v>
      </c>
      <c r="G314" s="79">
        <f t="shared" si="20"/>
        <v>3772.6691729323311</v>
      </c>
      <c r="H314" s="80" t="s">
        <v>354</v>
      </c>
      <c r="I314" s="91" t="s">
        <v>27</v>
      </c>
      <c r="J314" s="87">
        <v>232</v>
      </c>
      <c r="K314" s="87">
        <v>1685</v>
      </c>
      <c r="L314" s="87">
        <v>186.2</v>
      </c>
      <c r="M314" s="82">
        <v>30.41</v>
      </c>
      <c r="N314" s="125">
        <f t="shared" si="21"/>
        <v>702471</v>
      </c>
      <c r="O314" s="84">
        <v>42181</v>
      </c>
      <c r="P314" s="25"/>
    </row>
    <row r="315" spans="1:39" s="26" customFormat="1" ht="45" customHeight="1" x14ac:dyDescent="0.25">
      <c r="A315" s="93">
        <v>1210</v>
      </c>
      <c r="B315" s="90" t="s">
        <v>571</v>
      </c>
      <c r="C315" s="93">
        <v>2008</v>
      </c>
      <c r="D315" s="126" t="s">
        <v>29</v>
      </c>
      <c r="E315" s="90">
        <v>2015</v>
      </c>
      <c r="F315" s="90" t="s">
        <v>469</v>
      </c>
      <c r="G315" s="79">
        <f t="shared" si="20"/>
        <v>3772.6691729323311</v>
      </c>
      <c r="H315" s="80" t="s">
        <v>354</v>
      </c>
      <c r="I315" s="91" t="s">
        <v>27</v>
      </c>
      <c r="J315" s="87">
        <v>233</v>
      </c>
      <c r="K315" s="87">
        <v>1686</v>
      </c>
      <c r="L315" s="87">
        <v>186.2</v>
      </c>
      <c r="M315" s="82">
        <v>30.41</v>
      </c>
      <c r="N315" s="125">
        <f t="shared" si="21"/>
        <v>702471</v>
      </c>
      <c r="O315" s="84">
        <v>42181</v>
      </c>
      <c r="P315" s="25"/>
    </row>
    <row r="316" spans="1:39" s="26" customFormat="1" ht="45" customHeight="1" x14ac:dyDescent="0.25">
      <c r="A316" s="93">
        <v>1211</v>
      </c>
      <c r="B316" s="90" t="s">
        <v>572</v>
      </c>
      <c r="C316" s="93">
        <v>2007</v>
      </c>
      <c r="D316" s="126" t="s">
        <v>29</v>
      </c>
      <c r="E316" s="90">
        <v>2015</v>
      </c>
      <c r="F316" s="90" t="s">
        <v>469</v>
      </c>
      <c r="G316" s="79">
        <f t="shared" si="20"/>
        <v>3772.6691729323311</v>
      </c>
      <c r="H316" s="80" t="s">
        <v>354</v>
      </c>
      <c r="I316" s="91" t="s">
        <v>27</v>
      </c>
      <c r="J316" s="87">
        <v>234</v>
      </c>
      <c r="K316" s="87">
        <v>1687</v>
      </c>
      <c r="L316" s="87">
        <v>186.2</v>
      </c>
      <c r="M316" s="82">
        <v>30.41</v>
      </c>
      <c r="N316" s="125">
        <f t="shared" si="21"/>
        <v>702471</v>
      </c>
      <c r="O316" s="84">
        <v>42181</v>
      </c>
      <c r="P316" s="25"/>
    </row>
    <row r="317" spans="1:39" s="26" customFormat="1" ht="46.2" customHeight="1" x14ac:dyDescent="0.25">
      <c r="A317" s="93">
        <v>1212</v>
      </c>
      <c r="B317" s="90" t="s">
        <v>573</v>
      </c>
      <c r="C317" s="93">
        <v>2009</v>
      </c>
      <c r="D317" s="126" t="s">
        <v>29</v>
      </c>
      <c r="E317" s="90">
        <v>2015</v>
      </c>
      <c r="F317" s="90" t="s">
        <v>329</v>
      </c>
      <c r="G317" s="79">
        <f t="shared" si="20"/>
        <v>3047.5112781954886</v>
      </c>
      <c r="H317" s="80" t="s">
        <v>1014</v>
      </c>
      <c r="I317" s="91" t="s">
        <v>27</v>
      </c>
      <c r="J317" s="87">
        <v>235</v>
      </c>
      <c r="K317" s="87">
        <v>1688</v>
      </c>
      <c r="L317" s="87">
        <v>186.2</v>
      </c>
      <c r="M317" s="82">
        <v>3.4685000000000001</v>
      </c>
      <c r="N317" s="125">
        <f>163600*M317</f>
        <v>567446.6</v>
      </c>
      <c r="O317" s="84">
        <v>42181</v>
      </c>
      <c r="P317" s="25"/>
    </row>
    <row r="318" spans="1:39" s="26" customFormat="1" ht="49.2" customHeight="1" x14ac:dyDescent="0.25">
      <c r="A318" s="93">
        <v>1213</v>
      </c>
      <c r="B318" s="90" t="s">
        <v>574</v>
      </c>
      <c r="C318" s="93">
        <v>2009</v>
      </c>
      <c r="D318" s="126" t="s">
        <v>29</v>
      </c>
      <c r="E318" s="90">
        <v>2015</v>
      </c>
      <c r="F318" s="90" t="s">
        <v>329</v>
      </c>
      <c r="G318" s="79">
        <f t="shared" si="20"/>
        <v>1815.5840494092374</v>
      </c>
      <c r="H318" s="80" t="s">
        <v>86</v>
      </c>
      <c r="I318" s="91" t="s">
        <v>27</v>
      </c>
      <c r="J318" s="87">
        <v>236</v>
      </c>
      <c r="K318" s="87">
        <v>1689</v>
      </c>
      <c r="L318" s="87">
        <v>186.2</v>
      </c>
      <c r="M318" s="82">
        <v>3.4672999999999998</v>
      </c>
      <c r="N318" s="125">
        <f>97500*M318</f>
        <v>338061.75</v>
      </c>
      <c r="O318" s="84">
        <v>42181</v>
      </c>
      <c r="P318" s="25"/>
    </row>
    <row r="319" spans="1:39" s="26" customFormat="1" ht="39.6" customHeight="1" x14ac:dyDescent="0.25">
      <c r="A319" s="93">
        <v>1214</v>
      </c>
      <c r="B319" s="90" t="s">
        <v>575</v>
      </c>
      <c r="C319" s="93">
        <v>2004</v>
      </c>
      <c r="D319" s="126" t="s">
        <v>29</v>
      </c>
      <c r="E319" s="90">
        <v>2015</v>
      </c>
      <c r="F319" s="78" t="s">
        <v>105</v>
      </c>
      <c r="G319" s="79">
        <f t="shared" si="20"/>
        <v>2278.7194683136413</v>
      </c>
      <c r="H319" s="80" t="s">
        <v>576</v>
      </c>
      <c r="I319" s="91" t="s">
        <v>27</v>
      </c>
      <c r="J319" s="87">
        <v>237</v>
      </c>
      <c r="K319" s="87">
        <v>1690</v>
      </c>
      <c r="L319" s="87">
        <v>186.2</v>
      </c>
      <c r="M319" s="82">
        <v>3.4679000000000002</v>
      </c>
      <c r="N319" s="125">
        <f>122350*M319</f>
        <v>424297.565</v>
      </c>
      <c r="O319" s="84">
        <v>42181</v>
      </c>
      <c r="P319" s="25"/>
    </row>
    <row r="320" spans="1:39" s="26" customFormat="1" ht="48.6" customHeight="1" x14ac:dyDescent="0.25">
      <c r="A320" s="93">
        <v>1215</v>
      </c>
      <c r="B320" s="90" t="s">
        <v>577</v>
      </c>
      <c r="C320" s="93">
        <v>2013</v>
      </c>
      <c r="D320" s="126" t="s">
        <v>29</v>
      </c>
      <c r="E320" s="90">
        <v>2015</v>
      </c>
      <c r="F320" s="90" t="s">
        <v>329</v>
      </c>
      <c r="G320" s="79">
        <f t="shared" si="20"/>
        <v>2133.763372717508</v>
      </c>
      <c r="H320" s="80" t="s">
        <v>1013</v>
      </c>
      <c r="I320" s="91" t="s">
        <v>27</v>
      </c>
      <c r="J320" s="87">
        <v>238</v>
      </c>
      <c r="K320" s="87">
        <v>1691</v>
      </c>
      <c r="L320" s="87">
        <v>186.2</v>
      </c>
      <c r="M320" s="82">
        <v>3.4668999999999999</v>
      </c>
      <c r="N320" s="125">
        <f>114600*M320</f>
        <v>397306.74</v>
      </c>
      <c r="O320" s="84">
        <v>42181</v>
      </c>
      <c r="P320" s="25"/>
    </row>
    <row r="321" spans="1:39" s="26" customFormat="1" ht="39.6" customHeight="1" x14ac:dyDescent="0.25">
      <c r="A321" s="93">
        <v>1216</v>
      </c>
      <c r="B321" s="90" t="s">
        <v>578</v>
      </c>
      <c r="C321" s="93">
        <v>2012</v>
      </c>
      <c r="D321" s="126" t="s">
        <v>29</v>
      </c>
      <c r="E321" s="90">
        <v>2015</v>
      </c>
      <c r="F321" s="90" t="s">
        <v>169</v>
      </c>
      <c r="G321" s="79">
        <f t="shared" si="20"/>
        <v>2866.4210526315792</v>
      </c>
      <c r="H321" s="80" t="s">
        <v>579</v>
      </c>
      <c r="I321" s="91" t="s">
        <v>27</v>
      </c>
      <c r="J321" s="87">
        <v>239</v>
      </c>
      <c r="K321" s="87">
        <v>1692</v>
      </c>
      <c r="L321" s="87">
        <v>186.2</v>
      </c>
      <c r="M321" s="82">
        <v>3.4104000000000001</v>
      </c>
      <c r="N321" s="125">
        <f>156500*M321</f>
        <v>533727.6</v>
      </c>
      <c r="O321" s="84">
        <v>42185</v>
      </c>
      <c r="P321" s="25"/>
    </row>
    <row r="322" spans="1:39" s="26" customFormat="1" ht="44.4" customHeight="1" x14ac:dyDescent="0.25">
      <c r="A322" s="93">
        <v>1217</v>
      </c>
      <c r="B322" s="90" t="s">
        <v>580</v>
      </c>
      <c r="C322" s="93">
        <v>2006</v>
      </c>
      <c r="D322" s="126" t="s">
        <v>29</v>
      </c>
      <c r="E322" s="90">
        <v>2015</v>
      </c>
      <c r="F322" s="90" t="s">
        <v>329</v>
      </c>
      <c r="G322" s="79">
        <f t="shared" si="20"/>
        <v>3804.9496240601507</v>
      </c>
      <c r="H322" s="80" t="s">
        <v>581</v>
      </c>
      <c r="I322" s="91" t="s">
        <v>27</v>
      </c>
      <c r="J322" s="87">
        <v>240</v>
      </c>
      <c r="K322" s="87">
        <v>1693</v>
      </c>
      <c r="L322" s="87">
        <v>186.2</v>
      </c>
      <c r="M322" s="82">
        <v>3.4077999999999999</v>
      </c>
      <c r="N322" s="125">
        <f>207900*M322</f>
        <v>708481.62</v>
      </c>
      <c r="O322" s="84">
        <v>42185</v>
      </c>
      <c r="P322" s="25"/>
    </row>
    <row r="323" spans="1:39" s="26" customFormat="1" ht="47.4" customHeight="1" x14ac:dyDescent="0.25">
      <c r="A323" s="93">
        <v>1218</v>
      </c>
      <c r="B323" s="90" t="s">
        <v>582</v>
      </c>
      <c r="C323" s="93">
        <v>2011</v>
      </c>
      <c r="D323" s="126" t="s">
        <v>29</v>
      </c>
      <c r="E323" s="90">
        <v>2015</v>
      </c>
      <c r="F323" s="90" t="s">
        <v>329</v>
      </c>
      <c r="G323" s="79">
        <f t="shared" si="20"/>
        <v>3089.4003222341576</v>
      </c>
      <c r="H323" s="80" t="s">
        <v>113</v>
      </c>
      <c r="I323" s="91" t="s">
        <v>27</v>
      </c>
      <c r="J323" s="87">
        <v>241</v>
      </c>
      <c r="K323" s="87">
        <v>1694</v>
      </c>
      <c r="L323" s="87">
        <v>186.2</v>
      </c>
      <c r="M323" s="82">
        <v>3.4119000000000002</v>
      </c>
      <c r="N323" s="125">
        <f>168600*M323</f>
        <v>575246.34000000008</v>
      </c>
      <c r="O323" s="84">
        <v>42185</v>
      </c>
      <c r="P323" s="25"/>
    </row>
    <row r="324" spans="1:39" s="26" customFormat="1" ht="45.6" customHeight="1" x14ac:dyDescent="0.25">
      <c r="A324" s="93">
        <v>1219</v>
      </c>
      <c r="B324" s="90" t="s">
        <v>583</v>
      </c>
      <c r="C324" s="93">
        <v>2012</v>
      </c>
      <c r="D324" s="126" t="s">
        <v>29</v>
      </c>
      <c r="E324" s="90">
        <v>2015</v>
      </c>
      <c r="F324" s="90" t="s">
        <v>332</v>
      </c>
      <c r="G324" s="79">
        <f t="shared" si="20"/>
        <v>2882.059935553169</v>
      </c>
      <c r="H324" s="80" t="s">
        <v>584</v>
      </c>
      <c r="I324" s="91" t="s">
        <v>27</v>
      </c>
      <c r="J324" s="87">
        <v>242</v>
      </c>
      <c r="K324" s="87">
        <v>1695</v>
      </c>
      <c r="L324" s="87">
        <v>186.2</v>
      </c>
      <c r="M324" s="82">
        <v>3.4094000000000002</v>
      </c>
      <c r="N324" s="125">
        <f>157400*M324</f>
        <v>536639.56000000006</v>
      </c>
      <c r="O324" s="84">
        <v>42185</v>
      </c>
      <c r="P324" s="25"/>
    </row>
    <row r="325" spans="1:39" s="26" customFormat="1" ht="37.200000000000003" customHeight="1" x14ac:dyDescent="0.25">
      <c r="A325" s="93">
        <v>1220</v>
      </c>
      <c r="B325" s="90" t="s">
        <v>585</v>
      </c>
      <c r="C325" s="93">
        <v>2008</v>
      </c>
      <c r="D325" s="126" t="s">
        <v>29</v>
      </c>
      <c r="E325" s="90">
        <v>2015</v>
      </c>
      <c r="F325" s="78" t="s">
        <v>105</v>
      </c>
      <c r="G325" s="79">
        <f t="shared" si="20"/>
        <v>2550.1745435016114</v>
      </c>
      <c r="H325" s="80" t="s">
        <v>586</v>
      </c>
      <c r="I325" s="91" t="s">
        <v>27</v>
      </c>
      <c r="J325" s="87">
        <v>243</v>
      </c>
      <c r="K325" s="87">
        <v>1696</v>
      </c>
      <c r="L325" s="87">
        <v>186.2</v>
      </c>
      <c r="M325" s="82">
        <v>3.41</v>
      </c>
      <c r="N325" s="125">
        <f>139250*M325</f>
        <v>474842.5</v>
      </c>
      <c r="O325" s="84">
        <v>42185</v>
      </c>
      <c r="P325" s="25"/>
    </row>
    <row r="326" spans="1:39" s="26" customFormat="1" ht="38.4" customHeight="1" x14ac:dyDescent="0.25">
      <c r="A326" s="93">
        <v>1221</v>
      </c>
      <c r="B326" s="90" t="s">
        <v>587</v>
      </c>
      <c r="C326" s="93">
        <v>2006</v>
      </c>
      <c r="D326" s="126" t="s">
        <v>29</v>
      </c>
      <c r="E326" s="90">
        <v>2015</v>
      </c>
      <c r="F326" s="78" t="s">
        <v>105</v>
      </c>
      <c r="G326" s="79">
        <f t="shared" si="20"/>
        <v>2550.6980397422126</v>
      </c>
      <c r="H326" s="80" t="s">
        <v>586</v>
      </c>
      <c r="I326" s="91" t="s">
        <v>27</v>
      </c>
      <c r="J326" s="87">
        <v>244</v>
      </c>
      <c r="K326" s="87">
        <v>1697</v>
      </c>
      <c r="L326" s="87">
        <v>186.2</v>
      </c>
      <c r="M326" s="82">
        <v>3.4106999999999998</v>
      </c>
      <c r="N326" s="125">
        <f>139250*M326</f>
        <v>474939.97499999998</v>
      </c>
      <c r="O326" s="84">
        <v>42185</v>
      </c>
      <c r="P326" s="25"/>
    </row>
    <row r="327" spans="1:39" s="26" customFormat="1" ht="33" customHeight="1" x14ac:dyDescent="0.25">
      <c r="A327" s="93">
        <v>1222</v>
      </c>
      <c r="B327" s="90" t="s">
        <v>588</v>
      </c>
      <c r="C327" s="93">
        <v>2009</v>
      </c>
      <c r="D327" s="126" t="s">
        <v>29</v>
      </c>
      <c r="E327" s="90">
        <v>2015</v>
      </c>
      <c r="F327" s="78" t="s">
        <v>105</v>
      </c>
      <c r="G327" s="79">
        <f t="shared" si="20"/>
        <v>2256.9783834586469</v>
      </c>
      <c r="H327" s="80" t="s">
        <v>589</v>
      </c>
      <c r="I327" s="91" t="s">
        <v>27</v>
      </c>
      <c r="J327" s="87">
        <v>245</v>
      </c>
      <c r="K327" s="87">
        <v>1698</v>
      </c>
      <c r="L327" s="87">
        <v>186.2</v>
      </c>
      <c r="M327" s="82">
        <v>3.4125000000000001</v>
      </c>
      <c r="N327" s="125">
        <f>123150*M327</f>
        <v>420249.375</v>
      </c>
      <c r="O327" s="84">
        <v>42185</v>
      </c>
      <c r="P327" s="25"/>
    </row>
    <row r="328" spans="1:39" s="26" customFormat="1" ht="41.4" customHeight="1" x14ac:dyDescent="0.25">
      <c r="A328" s="93">
        <v>1223</v>
      </c>
      <c r="B328" s="90" t="s">
        <v>590</v>
      </c>
      <c r="C328" s="93">
        <v>2008</v>
      </c>
      <c r="D328" s="126" t="s">
        <v>29</v>
      </c>
      <c r="E328" s="90">
        <v>2015</v>
      </c>
      <c r="F328" s="78" t="s">
        <v>105</v>
      </c>
      <c r="G328" s="79">
        <f t="shared" si="20"/>
        <v>2422.6893125671322</v>
      </c>
      <c r="H328" s="80" t="s">
        <v>591</v>
      </c>
      <c r="I328" s="91" t="s">
        <v>27</v>
      </c>
      <c r="J328" s="87">
        <v>246</v>
      </c>
      <c r="K328" s="87">
        <v>1699</v>
      </c>
      <c r="L328" s="87">
        <v>186.2</v>
      </c>
      <c r="M328" s="82">
        <v>3.411</v>
      </c>
      <c r="N328" s="125">
        <f>132250*M328</f>
        <v>451104.75</v>
      </c>
      <c r="O328" s="84">
        <v>42185</v>
      </c>
      <c r="P328" s="25"/>
    </row>
    <row r="329" spans="1:39" s="26" customFormat="1" ht="36.6" customHeight="1" x14ac:dyDescent="0.25">
      <c r="A329" s="93">
        <v>1224</v>
      </c>
      <c r="B329" s="90" t="s">
        <v>592</v>
      </c>
      <c r="C329" s="93">
        <v>2005</v>
      </c>
      <c r="D329" s="126" t="s">
        <v>29</v>
      </c>
      <c r="E329" s="90">
        <v>2015</v>
      </c>
      <c r="F329" s="78" t="s">
        <v>105</v>
      </c>
      <c r="G329" s="79">
        <f t="shared" si="20"/>
        <v>2542.4335392051557</v>
      </c>
      <c r="H329" s="80" t="s">
        <v>497</v>
      </c>
      <c r="I329" s="91" t="s">
        <v>27</v>
      </c>
      <c r="J329" s="87">
        <v>247</v>
      </c>
      <c r="K329" s="87">
        <v>1700</v>
      </c>
      <c r="L329" s="87">
        <v>186.2</v>
      </c>
      <c r="M329" s="82">
        <v>3.4119000000000002</v>
      </c>
      <c r="N329" s="125">
        <f>138750*M329</f>
        <v>473401.125</v>
      </c>
      <c r="O329" s="84">
        <v>42185</v>
      </c>
      <c r="P329" s="25"/>
    </row>
    <row r="330" spans="1:39" s="26" customFormat="1" ht="35.4" customHeight="1" x14ac:dyDescent="0.25">
      <c r="A330" s="93">
        <v>1225</v>
      </c>
      <c r="B330" s="90" t="s">
        <v>593</v>
      </c>
      <c r="C330" s="93">
        <v>2010</v>
      </c>
      <c r="D330" s="126" t="s">
        <v>29</v>
      </c>
      <c r="E330" s="90">
        <v>2015</v>
      </c>
      <c r="F330" s="78" t="s">
        <v>105</v>
      </c>
      <c r="G330" s="79">
        <f t="shared" si="20"/>
        <v>2451.0943609022561</v>
      </c>
      <c r="H330" s="80" t="s">
        <v>594</v>
      </c>
      <c r="I330" s="91" t="s">
        <v>27</v>
      </c>
      <c r="J330" s="87">
        <v>248</v>
      </c>
      <c r="K330" s="87">
        <v>1701</v>
      </c>
      <c r="L330" s="87">
        <v>186.2</v>
      </c>
      <c r="M330" s="82">
        <v>3.4174000000000002</v>
      </c>
      <c r="N330" s="125">
        <f>133550*M330</f>
        <v>456393.77</v>
      </c>
      <c r="O330" s="84">
        <v>42185</v>
      </c>
      <c r="P330" s="25"/>
    </row>
    <row r="331" spans="1:39" s="26" customFormat="1" ht="58.2" customHeight="1" x14ac:dyDescent="0.25">
      <c r="A331" s="93">
        <v>1226</v>
      </c>
      <c r="B331" s="90" t="s">
        <v>595</v>
      </c>
      <c r="C331" s="93">
        <v>2013</v>
      </c>
      <c r="D331" s="126" t="s">
        <v>29</v>
      </c>
      <c r="E331" s="90">
        <v>2015</v>
      </c>
      <c r="F331" s="90" t="s">
        <v>456</v>
      </c>
      <c r="G331" s="79">
        <v>3998</v>
      </c>
      <c r="H331" s="80" t="s">
        <v>231</v>
      </c>
      <c r="I331" s="91" t="s">
        <v>27</v>
      </c>
      <c r="J331" s="87">
        <v>249</v>
      </c>
      <c r="K331" s="87">
        <v>1702</v>
      </c>
      <c r="L331" s="87">
        <v>186.74</v>
      </c>
      <c r="M331" s="82"/>
      <c r="N331" s="125">
        <f>3998*L331</f>
        <v>746586.52</v>
      </c>
      <c r="O331" s="84">
        <v>42185</v>
      </c>
      <c r="P331" s="25"/>
    </row>
    <row r="332" spans="1:39" s="26" customFormat="1" ht="102.6" customHeight="1" x14ac:dyDescent="0.25">
      <c r="A332" s="93"/>
      <c r="B332" s="90" t="s">
        <v>137</v>
      </c>
      <c r="C332" s="93">
        <v>2013</v>
      </c>
      <c r="D332" s="119" t="s">
        <v>596</v>
      </c>
      <c r="E332" s="90" t="s">
        <v>449</v>
      </c>
      <c r="F332" s="90" t="s">
        <v>754</v>
      </c>
      <c r="G332" s="79">
        <f>N332/L332</f>
        <v>3977.3682921589693</v>
      </c>
      <c r="H332" s="80" t="s">
        <v>1027</v>
      </c>
      <c r="I332" s="91" t="s">
        <v>132</v>
      </c>
      <c r="J332" s="87">
        <v>250</v>
      </c>
      <c r="K332" s="87">
        <v>1703</v>
      </c>
      <c r="L332" s="87">
        <v>186.2</v>
      </c>
      <c r="M332" s="82">
        <v>3.4241999999999999</v>
      </c>
      <c r="N332" s="125">
        <f>216280*M332</f>
        <v>740585.97600000002</v>
      </c>
      <c r="O332" s="84">
        <v>42186</v>
      </c>
      <c r="P332" s="25"/>
    </row>
    <row r="333" spans="1:39" s="26" customFormat="1" ht="48.6" customHeight="1" x14ac:dyDescent="0.25">
      <c r="A333" s="93">
        <v>1227</v>
      </c>
      <c r="B333" s="90" t="s">
        <v>597</v>
      </c>
      <c r="C333" s="93">
        <v>2013</v>
      </c>
      <c r="D333" s="126" t="s">
        <v>29</v>
      </c>
      <c r="E333" s="90">
        <v>2015</v>
      </c>
      <c r="F333" s="90" t="s">
        <v>332</v>
      </c>
      <c r="G333" s="79">
        <f>N333/L333</f>
        <v>1448.5473684210529</v>
      </c>
      <c r="H333" s="80" t="s">
        <v>598</v>
      </c>
      <c r="I333" s="91" t="s">
        <v>27</v>
      </c>
      <c r="J333" s="87">
        <v>251</v>
      </c>
      <c r="K333" s="87">
        <v>1704</v>
      </c>
      <c r="L333" s="87">
        <v>186.2</v>
      </c>
      <c r="M333" s="82">
        <v>3.4403000000000001</v>
      </c>
      <c r="N333" s="125">
        <f>78400*M333</f>
        <v>269719.52</v>
      </c>
      <c r="O333" s="84">
        <v>42186</v>
      </c>
      <c r="P333" s="25"/>
    </row>
    <row r="334" spans="1:39" s="71" customFormat="1" ht="85.2" customHeight="1" x14ac:dyDescent="0.25">
      <c r="A334" s="93"/>
      <c r="B334" s="90" t="s">
        <v>64</v>
      </c>
      <c r="C334" s="93">
        <v>2010</v>
      </c>
      <c r="D334" s="113" t="s">
        <v>565</v>
      </c>
      <c r="E334" s="90" t="s">
        <v>197</v>
      </c>
      <c r="F334" s="78" t="s">
        <v>437</v>
      </c>
      <c r="G334" s="79">
        <v>8750</v>
      </c>
      <c r="H334" s="80" t="s">
        <v>599</v>
      </c>
      <c r="I334" s="85" t="s">
        <v>531</v>
      </c>
      <c r="J334" s="87"/>
      <c r="K334" s="87"/>
      <c r="L334" s="87">
        <v>183.78</v>
      </c>
      <c r="M334" s="82"/>
      <c r="N334" s="125">
        <f>G334*L334</f>
        <v>1608075</v>
      </c>
      <c r="O334" s="84">
        <v>42187</v>
      </c>
      <c r="P334" s="25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</row>
    <row r="335" spans="1:39" s="26" customFormat="1" ht="64.95" customHeight="1" x14ac:dyDescent="0.25">
      <c r="A335" s="93"/>
      <c r="B335" s="90" t="s">
        <v>60</v>
      </c>
      <c r="C335" s="93">
        <v>2012</v>
      </c>
      <c r="D335" s="95" t="s">
        <v>318</v>
      </c>
      <c r="E335" s="90" t="s">
        <v>195</v>
      </c>
      <c r="F335" s="78" t="s">
        <v>135</v>
      </c>
      <c r="G335" s="79">
        <f>N335/L335</f>
        <v>9232.7770676691744</v>
      </c>
      <c r="H335" s="80" t="s">
        <v>600</v>
      </c>
      <c r="I335" s="91" t="s">
        <v>132</v>
      </c>
      <c r="J335" s="87">
        <v>252</v>
      </c>
      <c r="K335" s="87">
        <v>1705</v>
      </c>
      <c r="L335" s="87">
        <v>186.2</v>
      </c>
      <c r="M335" s="82">
        <v>3.3233000000000001</v>
      </c>
      <c r="N335" s="125">
        <f>517300*M335</f>
        <v>1719143.09</v>
      </c>
      <c r="O335" s="84">
        <v>42192</v>
      </c>
      <c r="P335" s="25"/>
    </row>
    <row r="336" spans="1:39" s="26" customFormat="1" ht="61.95" customHeight="1" x14ac:dyDescent="0.25">
      <c r="A336" s="93"/>
      <c r="B336" s="90" t="s">
        <v>67</v>
      </c>
      <c r="C336" s="93">
        <v>2009</v>
      </c>
      <c r="D336" s="95" t="s">
        <v>318</v>
      </c>
      <c r="E336" s="90" t="s">
        <v>183</v>
      </c>
      <c r="F336" s="78" t="s">
        <v>135</v>
      </c>
      <c r="G336" s="79">
        <f>N336/L336</f>
        <v>5577.7148764769072</v>
      </c>
      <c r="H336" s="80" t="s">
        <v>601</v>
      </c>
      <c r="I336" s="91" t="s">
        <v>132</v>
      </c>
      <c r="J336" s="87">
        <v>253</v>
      </c>
      <c r="K336" s="87">
        <v>1706</v>
      </c>
      <c r="L336" s="87">
        <v>186.2</v>
      </c>
      <c r="M336" s="82">
        <v>3.3212999999999999</v>
      </c>
      <c r="N336" s="125">
        <f>312700*M336</f>
        <v>1038570.51</v>
      </c>
      <c r="O336" s="84">
        <v>42192</v>
      </c>
      <c r="P336" s="25"/>
    </row>
    <row r="337" spans="1:39" s="26" customFormat="1" ht="60" customHeight="1" x14ac:dyDescent="0.25">
      <c r="A337" s="93"/>
      <c r="B337" s="90" t="s">
        <v>54</v>
      </c>
      <c r="C337" s="93">
        <v>2009</v>
      </c>
      <c r="D337" s="78" t="s">
        <v>28</v>
      </c>
      <c r="E337" s="90" t="s">
        <v>1130</v>
      </c>
      <c r="F337" s="127" t="s">
        <v>115</v>
      </c>
      <c r="G337" s="79">
        <v>29952</v>
      </c>
      <c r="H337" s="80" t="s">
        <v>1097</v>
      </c>
      <c r="I337" s="91"/>
      <c r="J337" s="87"/>
      <c r="K337" s="87"/>
      <c r="L337" s="87">
        <v>186.2</v>
      </c>
      <c r="M337" s="82"/>
      <c r="N337" s="125">
        <f>G337*L337</f>
        <v>5577062.3999999994</v>
      </c>
      <c r="O337" s="84">
        <v>42193</v>
      </c>
      <c r="P337" s="25"/>
    </row>
    <row r="338" spans="1:39" s="71" customFormat="1" ht="128.4" customHeight="1" x14ac:dyDescent="0.25">
      <c r="A338" s="93"/>
      <c r="B338" s="90" t="s">
        <v>524</v>
      </c>
      <c r="C338" s="93">
        <v>2005</v>
      </c>
      <c r="D338" s="113" t="s">
        <v>525</v>
      </c>
      <c r="E338" s="90" t="s">
        <v>197</v>
      </c>
      <c r="F338" s="78" t="s">
        <v>290</v>
      </c>
      <c r="G338" s="79">
        <v>10620</v>
      </c>
      <c r="H338" s="80" t="s">
        <v>1095</v>
      </c>
      <c r="I338" s="91" t="s">
        <v>132</v>
      </c>
      <c r="J338" s="87"/>
      <c r="K338" s="87"/>
      <c r="L338" s="87">
        <v>183.78</v>
      </c>
      <c r="M338" s="82"/>
      <c r="N338" s="125">
        <f>G338*L338</f>
        <v>1951743.6</v>
      </c>
      <c r="O338" s="84">
        <v>42193</v>
      </c>
      <c r="P338" s="25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</row>
    <row r="339" spans="1:39" s="26" customFormat="1" ht="73.2" customHeight="1" x14ac:dyDescent="0.25">
      <c r="A339" s="93">
        <v>1228</v>
      </c>
      <c r="B339" s="90" t="s">
        <v>602</v>
      </c>
      <c r="C339" s="93">
        <v>2002</v>
      </c>
      <c r="D339" s="119" t="s">
        <v>603</v>
      </c>
      <c r="E339" s="90">
        <v>2015</v>
      </c>
      <c r="F339" s="112" t="s">
        <v>604</v>
      </c>
      <c r="G339" s="79">
        <f t="shared" ref="G339:G345" si="22">N339/L339</f>
        <v>1401.6396093372684</v>
      </c>
      <c r="H339" s="80" t="s">
        <v>1017</v>
      </c>
      <c r="I339" s="91" t="s">
        <v>132</v>
      </c>
      <c r="J339" s="87">
        <v>254</v>
      </c>
      <c r="K339" s="87">
        <v>1707</v>
      </c>
      <c r="L339" s="87">
        <v>186.35</v>
      </c>
      <c r="M339" s="82">
        <v>3.3523999999999998</v>
      </c>
      <c r="N339" s="125">
        <f>77913*M339</f>
        <v>261195.54119999998</v>
      </c>
      <c r="O339" s="84">
        <v>42195</v>
      </c>
      <c r="P339" s="25"/>
    </row>
    <row r="340" spans="1:39" s="26" customFormat="1" ht="47.4" customHeight="1" x14ac:dyDescent="0.25">
      <c r="A340" s="93"/>
      <c r="B340" s="90" t="s">
        <v>597</v>
      </c>
      <c r="C340" s="93">
        <v>2013</v>
      </c>
      <c r="D340" s="126" t="s">
        <v>29</v>
      </c>
      <c r="E340" s="90" t="s">
        <v>197</v>
      </c>
      <c r="F340" s="90" t="s">
        <v>332</v>
      </c>
      <c r="G340" s="79">
        <f t="shared" si="22"/>
        <v>791.17359806815136</v>
      </c>
      <c r="H340" s="80" t="s">
        <v>1003</v>
      </c>
      <c r="I340" s="91" t="s">
        <v>27</v>
      </c>
      <c r="J340" s="87"/>
      <c r="K340" s="87"/>
      <c r="L340" s="87">
        <v>186.35</v>
      </c>
      <c r="M340" s="82">
        <v>3.3508</v>
      </c>
      <c r="N340" s="125">
        <f>44000*M340</f>
        <v>147435.20000000001</v>
      </c>
      <c r="O340" s="84">
        <v>42195</v>
      </c>
      <c r="P340" s="25"/>
    </row>
    <row r="341" spans="1:39" s="26" customFormat="1" ht="36.6" customHeight="1" x14ac:dyDescent="0.25">
      <c r="A341" s="93">
        <v>1229</v>
      </c>
      <c r="B341" s="90" t="s">
        <v>615</v>
      </c>
      <c r="C341" s="93">
        <v>2011</v>
      </c>
      <c r="D341" s="126" t="s">
        <v>29</v>
      </c>
      <c r="E341" s="90">
        <v>2015</v>
      </c>
      <c r="F341" s="92" t="s">
        <v>35</v>
      </c>
      <c r="G341" s="79">
        <f>N341/L341</f>
        <v>1811.4607343875634</v>
      </c>
      <c r="H341" s="80" t="s">
        <v>616</v>
      </c>
      <c r="I341" s="91" t="s">
        <v>27</v>
      </c>
      <c r="J341" s="87">
        <v>255</v>
      </c>
      <c r="K341" s="87">
        <v>1708</v>
      </c>
      <c r="L341" s="87">
        <v>186.55</v>
      </c>
      <c r="M341" s="82"/>
      <c r="N341" s="125">
        <v>337928</v>
      </c>
      <c r="O341" s="84">
        <v>42198</v>
      </c>
      <c r="P341" s="25"/>
    </row>
    <row r="342" spans="1:39" s="26" customFormat="1" ht="47.4" customHeight="1" x14ac:dyDescent="0.25">
      <c r="A342" s="93">
        <v>1230</v>
      </c>
      <c r="B342" s="90" t="s">
        <v>605</v>
      </c>
      <c r="C342" s="93">
        <v>2010</v>
      </c>
      <c r="D342" s="126" t="s">
        <v>29</v>
      </c>
      <c r="E342" s="90">
        <v>2015</v>
      </c>
      <c r="F342" s="90" t="s">
        <v>329</v>
      </c>
      <c r="G342" s="79">
        <f t="shared" si="22"/>
        <v>2949.6707708779441</v>
      </c>
      <c r="H342" s="80" t="s">
        <v>606</v>
      </c>
      <c r="I342" s="91" t="s">
        <v>27</v>
      </c>
      <c r="J342" s="87">
        <v>256</v>
      </c>
      <c r="K342" s="87">
        <v>1709</v>
      </c>
      <c r="L342" s="87">
        <v>186.8</v>
      </c>
      <c r="M342" s="82">
        <v>3.3475000000000001</v>
      </c>
      <c r="N342" s="125">
        <f>164600*M342</f>
        <v>550998.5</v>
      </c>
      <c r="O342" s="84">
        <v>42199</v>
      </c>
      <c r="P342" s="25"/>
    </row>
    <row r="343" spans="1:39" s="26" customFormat="1" ht="44.4" customHeight="1" x14ac:dyDescent="0.25">
      <c r="A343" s="93">
        <v>1231</v>
      </c>
      <c r="B343" s="90" t="s">
        <v>607</v>
      </c>
      <c r="C343" s="93">
        <v>2012</v>
      </c>
      <c r="D343" s="126" t="s">
        <v>29</v>
      </c>
      <c r="E343" s="90">
        <v>2015</v>
      </c>
      <c r="F343" s="90" t="s">
        <v>329</v>
      </c>
      <c r="G343" s="79">
        <f t="shared" si="22"/>
        <v>2773.5552462526766</v>
      </c>
      <c r="H343" s="80" t="s">
        <v>608</v>
      </c>
      <c r="I343" s="91" t="s">
        <v>27</v>
      </c>
      <c r="J343" s="87">
        <v>257</v>
      </c>
      <c r="K343" s="87">
        <v>1710</v>
      </c>
      <c r="L343" s="87">
        <v>186.8</v>
      </c>
      <c r="M343" s="82">
        <v>3.3469000000000002</v>
      </c>
      <c r="N343" s="125">
        <f>154800*M343</f>
        <v>518100.12000000005</v>
      </c>
      <c r="O343" s="84">
        <v>42199</v>
      </c>
      <c r="P343" s="25"/>
    </row>
    <row r="344" spans="1:39" s="26" customFormat="1" ht="44.4" customHeight="1" x14ac:dyDescent="0.25">
      <c r="A344" s="93">
        <v>1232</v>
      </c>
      <c r="B344" s="90" t="s">
        <v>609</v>
      </c>
      <c r="C344" s="93">
        <v>2013</v>
      </c>
      <c r="D344" s="126" t="s">
        <v>29</v>
      </c>
      <c r="E344" s="90">
        <v>2015</v>
      </c>
      <c r="F344" s="90" t="s">
        <v>329</v>
      </c>
      <c r="G344" s="79">
        <f t="shared" si="22"/>
        <v>1381.9390792291219</v>
      </c>
      <c r="H344" s="80" t="s">
        <v>610</v>
      </c>
      <c r="I344" s="91" t="s">
        <v>27</v>
      </c>
      <c r="J344" s="87">
        <v>258</v>
      </c>
      <c r="K344" s="87">
        <v>1711</v>
      </c>
      <c r="L344" s="87">
        <v>186.8</v>
      </c>
      <c r="M344" s="82">
        <v>3.3481999999999998</v>
      </c>
      <c r="N344" s="125">
        <f>77100*M344</f>
        <v>258146.22</v>
      </c>
      <c r="O344" s="84">
        <v>42199</v>
      </c>
      <c r="P344" s="25"/>
    </row>
    <row r="345" spans="1:39" s="26" customFormat="1" ht="44.4" customHeight="1" x14ac:dyDescent="0.25">
      <c r="A345" s="93">
        <v>1233</v>
      </c>
      <c r="B345" s="90" t="s">
        <v>611</v>
      </c>
      <c r="C345" s="93">
        <v>2013</v>
      </c>
      <c r="D345" s="126" t="s">
        <v>29</v>
      </c>
      <c r="E345" s="90">
        <v>2015</v>
      </c>
      <c r="F345" s="90" t="s">
        <v>332</v>
      </c>
      <c r="G345" s="79">
        <f t="shared" si="22"/>
        <v>3043.8918629550321</v>
      </c>
      <c r="H345" s="80" t="s">
        <v>127</v>
      </c>
      <c r="I345" s="91" t="s">
        <v>27</v>
      </c>
      <c r="J345" s="87">
        <v>259</v>
      </c>
      <c r="K345" s="87">
        <v>1712</v>
      </c>
      <c r="L345" s="87">
        <v>186.8</v>
      </c>
      <c r="M345" s="82">
        <v>3.3447</v>
      </c>
      <c r="N345" s="125">
        <f>170000*M345</f>
        <v>568599</v>
      </c>
      <c r="O345" s="84">
        <v>42199</v>
      </c>
      <c r="P345" s="25"/>
    </row>
    <row r="346" spans="1:39" s="26" customFormat="1" ht="48.6" customHeight="1" x14ac:dyDescent="0.25">
      <c r="A346" s="93">
        <v>1234</v>
      </c>
      <c r="B346" s="90" t="s">
        <v>612</v>
      </c>
      <c r="C346" s="93">
        <v>2008</v>
      </c>
      <c r="D346" s="126" t="s">
        <v>29</v>
      </c>
      <c r="E346" s="90">
        <v>2015</v>
      </c>
      <c r="F346" s="90" t="s">
        <v>457</v>
      </c>
      <c r="G346" s="79">
        <v>3998</v>
      </c>
      <c r="H346" s="80" t="s">
        <v>231</v>
      </c>
      <c r="I346" s="91" t="s">
        <v>27</v>
      </c>
      <c r="J346" s="87">
        <v>260</v>
      </c>
      <c r="K346" s="87">
        <v>1713</v>
      </c>
      <c r="L346" s="87">
        <v>187.34</v>
      </c>
      <c r="M346" s="82"/>
      <c r="N346" s="125">
        <f>G346*L346</f>
        <v>748985.32000000007</v>
      </c>
      <c r="O346" s="84">
        <v>42199</v>
      </c>
      <c r="P346" s="25"/>
    </row>
    <row r="347" spans="1:39" s="26" customFormat="1" ht="120" customHeight="1" x14ac:dyDescent="0.25">
      <c r="A347" s="93">
        <v>1235</v>
      </c>
      <c r="B347" s="90" t="s">
        <v>613</v>
      </c>
      <c r="C347" s="93">
        <v>2014</v>
      </c>
      <c r="D347" s="119" t="s">
        <v>614</v>
      </c>
      <c r="E347" s="90">
        <v>2015</v>
      </c>
      <c r="F347" s="101" t="s">
        <v>91</v>
      </c>
      <c r="G347" s="79">
        <v>6000</v>
      </c>
      <c r="H347" s="80" t="s">
        <v>108</v>
      </c>
      <c r="I347" s="85" t="s">
        <v>1131</v>
      </c>
      <c r="J347" s="87">
        <v>261</v>
      </c>
      <c r="K347" s="87">
        <v>1714</v>
      </c>
      <c r="L347" s="87">
        <v>183.78</v>
      </c>
      <c r="M347" s="82"/>
      <c r="N347" s="125">
        <f>G347*L347</f>
        <v>1102680</v>
      </c>
      <c r="O347" s="84">
        <v>42200</v>
      </c>
      <c r="P347" s="25"/>
    </row>
    <row r="348" spans="1:39" s="71" customFormat="1" ht="142.94999999999999" customHeight="1" x14ac:dyDescent="0.25">
      <c r="A348" s="93"/>
      <c r="B348" s="90" t="s">
        <v>57</v>
      </c>
      <c r="C348" s="93">
        <v>2005</v>
      </c>
      <c r="D348" s="92" t="s">
        <v>403</v>
      </c>
      <c r="E348" s="90" t="s">
        <v>624</v>
      </c>
      <c r="F348" s="90" t="s">
        <v>404</v>
      </c>
      <c r="G348" s="79">
        <f>N348/L348</f>
        <v>1226.3957453301259</v>
      </c>
      <c r="H348" s="80" t="s">
        <v>617</v>
      </c>
      <c r="I348" s="91" t="s">
        <v>132</v>
      </c>
      <c r="J348" s="87"/>
      <c r="K348" s="87"/>
      <c r="L348" s="87">
        <v>187.05</v>
      </c>
      <c r="M348" s="82">
        <v>3.3452000000000002</v>
      </c>
      <c r="N348" s="125">
        <f>68575.07*M348</f>
        <v>229397.32416400005</v>
      </c>
      <c r="O348" s="84">
        <v>42207</v>
      </c>
      <c r="P348" s="25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</row>
    <row r="349" spans="1:39" s="26" customFormat="1" ht="46.95" customHeight="1" x14ac:dyDescent="0.25">
      <c r="A349" s="93">
        <v>1236</v>
      </c>
      <c r="B349" s="90" t="s">
        <v>618</v>
      </c>
      <c r="C349" s="93">
        <v>2010</v>
      </c>
      <c r="D349" s="126" t="s">
        <v>29</v>
      </c>
      <c r="E349" s="90">
        <v>2015</v>
      </c>
      <c r="F349" s="78" t="s">
        <v>105</v>
      </c>
      <c r="G349" s="79">
        <f>N349/L349</f>
        <v>2400.2794707297512</v>
      </c>
      <c r="H349" s="80" t="s">
        <v>619</v>
      </c>
      <c r="I349" s="91" t="s">
        <v>27</v>
      </c>
      <c r="J349" s="87">
        <v>262</v>
      </c>
      <c r="K349" s="87">
        <v>1715</v>
      </c>
      <c r="L349" s="87">
        <v>187.05</v>
      </c>
      <c r="M349" s="82">
        <v>3.3443000000000001</v>
      </c>
      <c r="N349" s="125">
        <f>134250*M349</f>
        <v>448972.27500000002</v>
      </c>
      <c r="O349" s="84">
        <v>42207</v>
      </c>
      <c r="P349" s="25"/>
    </row>
    <row r="350" spans="1:39" s="26" customFormat="1" ht="47.4" customHeight="1" x14ac:dyDescent="0.25">
      <c r="A350" s="93">
        <v>1237</v>
      </c>
      <c r="B350" s="90" t="s">
        <v>620</v>
      </c>
      <c r="C350" s="93">
        <v>2011</v>
      </c>
      <c r="D350" s="126" t="s">
        <v>29</v>
      </c>
      <c r="E350" s="90">
        <v>2015</v>
      </c>
      <c r="F350" s="90" t="s">
        <v>332</v>
      </c>
      <c r="G350" s="79">
        <f>N350/L350</f>
        <v>2269.681635926223</v>
      </c>
      <c r="H350" s="80" t="s">
        <v>621</v>
      </c>
      <c r="I350" s="91" t="s">
        <v>27</v>
      </c>
      <c r="J350" s="87">
        <v>263</v>
      </c>
      <c r="K350" s="87">
        <v>1716</v>
      </c>
      <c r="L350" s="87">
        <v>187.05</v>
      </c>
      <c r="M350" s="82">
        <v>3.3454999999999999</v>
      </c>
      <c r="N350" s="125">
        <f>126900*M350</f>
        <v>424543.95</v>
      </c>
      <c r="O350" s="84">
        <v>42207</v>
      </c>
      <c r="P350" s="25"/>
    </row>
    <row r="351" spans="1:39" s="26" customFormat="1" ht="51.6" customHeight="1" x14ac:dyDescent="0.25">
      <c r="A351" s="93">
        <v>1238</v>
      </c>
      <c r="B351" s="90" t="s">
        <v>622</v>
      </c>
      <c r="C351" s="93">
        <v>2009</v>
      </c>
      <c r="D351" s="126" t="s">
        <v>29</v>
      </c>
      <c r="E351" s="90">
        <v>2015</v>
      </c>
      <c r="F351" s="78" t="s">
        <v>105</v>
      </c>
      <c r="G351" s="79">
        <f>N351/L351</f>
        <v>2652.4551724137928</v>
      </c>
      <c r="H351" s="80" t="s">
        <v>623</v>
      </c>
      <c r="I351" s="91" t="s">
        <v>27</v>
      </c>
      <c r="J351" s="87">
        <v>264</v>
      </c>
      <c r="K351" s="87">
        <v>1717</v>
      </c>
      <c r="L351" s="87">
        <v>187.05</v>
      </c>
      <c r="M351" s="82">
        <v>3.3443999999999998</v>
      </c>
      <c r="N351" s="125">
        <f>148350*M351</f>
        <v>496141.74</v>
      </c>
      <c r="O351" s="84">
        <v>42207</v>
      </c>
      <c r="P351" s="25"/>
    </row>
    <row r="352" spans="1:39" s="26" customFormat="1" ht="50.4" customHeight="1" x14ac:dyDescent="0.25">
      <c r="A352" s="93"/>
      <c r="B352" s="90" t="s">
        <v>221</v>
      </c>
      <c r="C352" s="93">
        <v>2011</v>
      </c>
      <c r="D352" s="126" t="s">
        <v>29</v>
      </c>
      <c r="E352" s="90" t="s">
        <v>624</v>
      </c>
      <c r="F352" s="90" t="s">
        <v>332</v>
      </c>
      <c r="G352" s="79">
        <f>N352/L352</f>
        <v>523.90686982090347</v>
      </c>
      <c r="H352" s="80" t="s">
        <v>625</v>
      </c>
      <c r="I352" s="91" t="s">
        <v>27</v>
      </c>
      <c r="J352" s="87"/>
      <c r="K352" s="87"/>
      <c r="L352" s="87">
        <v>187.05</v>
      </c>
      <c r="M352" s="82">
        <v>3.3445999999999998</v>
      </c>
      <c r="N352" s="125">
        <f>29300*M352</f>
        <v>97996.78</v>
      </c>
      <c r="O352" s="84">
        <v>42207</v>
      </c>
      <c r="P352" s="25"/>
    </row>
    <row r="353" spans="1:39" s="26" customFormat="1" ht="56.4" customHeight="1" x14ac:dyDescent="0.25">
      <c r="A353" s="93">
        <v>1239</v>
      </c>
      <c r="B353" s="90" t="s">
        <v>626</v>
      </c>
      <c r="C353" s="93">
        <v>2006</v>
      </c>
      <c r="D353" s="126" t="s">
        <v>29</v>
      </c>
      <c r="E353" s="90">
        <v>2015</v>
      </c>
      <c r="F353" s="78" t="s">
        <v>44</v>
      </c>
      <c r="G353" s="79">
        <v>3993</v>
      </c>
      <c r="H353" s="80" t="s">
        <v>627</v>
      </c>
      <c r="I353" s="91" t="s">
        <v>27</v>
      </c>
      <c r="J353" s="87">
        <v>265</v>
      </c>
      <c r="K353" s="87">
        <v>1718</v>
      </c>
      <c r="L353" s="87">
        <v>187.89</v>
      </c>
      <c r="M353" s="82"/>
      <c r="N353" s="125">
        <f>G353*L353</f>
        <v>750244.7699999999</v>
      </c>
      <c r="O353" s="84">
        <v>42207</v>
      </c>
      <c r="P353" s="25"/>
    </row>
    <row r="354" spans="1:39" s="26" customFormat="1" ht="57" customHeight="1" x14ac:dyDescent="0.25">
      <c r="A354" s="93">
        <v>1240</v>
      </c>
      <c r="B354" s="90" t="s">
        <v>628</v>
      </c>
      <c r="C354" s="93">
        <v>2011</v>
      </c>
      <c r="D354" s="126" t="s">
        <v>29</v>
      </c>
      <c r="E354" s="90">
        <v>2015</v>
      </c>
      <c r="F354" s="78" t="s">
        <v>44</v>
      </c>
      <c r="G354" s="79">
        <v>3993</v>
      </c>
      <c r="H354" s="80" t="s">
        <v>627</v>
      </c>
      <c r="I354" s="91" t="s">
        <v>27</v>
      </c>
      <c r="J354" s="87">
        <v>266</v>
      </c>
      <c r="K354" s="87">
        <v>1719</v>
      </c>
      <c r="L354" s="87">
        <v>187.89</v>
      </c>
      <c r="M354" s="82"/>
      <c r="N354" s="125">
        <f>G354*L354</f>
        <v>750244.7699999999</v>
      </c>
      <c r="O354" s="84">
        <v>42207</v>
      </c>
      <c r="P354" s="25"/>
    </row>
    <row r="355" spans="1:39" s="26" customFormat="1" ht="63.6" customHeight="1" x14ac:dyDescent="0.25">
      <c r="A355" s="93">
        <v>1241</v>
      </c>
      <c r="B355" s="90" t="s">
        <v>629</v>
      </c>
      <c r="C355" s="93">
        <v>2012</v>
      </c>
      <c r="D355" s="126" t="s">
        <v>29</v>
      </c>
      <c r="E355" s="90">
        <v>2015</v>
      </c>
      <c r="F355" s="78" t="s">
        <v>44</v>
      </c>
      <c r="G355" s="79">
        <v>4000</v>
      </c>
      <c r="H355" s="80" t="s">
        <v>95</v>
      </c>
      <c r="I355" s="91" t="s">
        <v>27</v>
      </c>
      <c r="J355" s="87">
        <v>267</v>
      </c>
      <c r="K355" s="87">
        <v>1720</v>
      </c>
      <c r="L355" s="87">
        <v>187.89</v>
      </c>
      <c r="M355" s="82"/>
      <c r="N355" s="125">
        <f>G355*L355</f>
        <v>751560</v>
      </c>
      <c r="O355" s="84">
        <v>42207</v>
      </c>
      <c r="P355" s="25"/>
    </row>
    <row r="356" spans="1:39" s="26" customFormat="1" ht="60.6" customHeight="1" x14ac:dyDescent="0.25">
      <c r="A356" s="93">
        <v>1242</v>
      </c>
      <c r="B356" s="90" t="s">
        <v>630</v>
      </c>
      <c r="C356" s="93">
        <v>2008</v>
      </c>
      <c r="D356" s="126" t="s">
        <v>29</v>
      </c>
      <c r="E356" s="90">
        <v>2015</v>
      </c>
      <c r="F356" s="78" t="s">
        <v>44</v>
      </c>
      <c r="G356" s="79">
        <v>3994</v>
      </c>
      <c r="H356" s="80" t="s">
        <v>153</v>
      </c>
      <c r="I356" s="91" t="s">
        <v>27</v>
      </c>
      <c r="J356" s="87">
        <v>268</v>
      </c>
      <c r="K356" s="87">
        <v>1721</v>
      </c>
      <c r="L356" s="87">
        <v>187.89</v>
      </c>
      <c r="M356" s="82"/>
      <c r="N356" s="125">
        <f>G356*L356</f>
        <v>750432.65999999992</v>
      </c>
      <c r="O356" s="84">
        <v>42207</v>
      </c>
      <c r="P356" s="25"/>
    </row>
    <row r="357" spans="1:39" s="26" customFormat="1" ht="38.4" customHeight="1" x14ac:dyDescent="0.25">
      <c r="A357" s="93">
        <v>1243</v>
      </c>
      <c r="B357" s="90" t="s">
        <v>631</v>
      </c>
      <c r="C357" s="93">
        <v>2014</v>
      </c>
      <c r="D357" s="126" t="s">
        <v>29</v>
      </c>
      <c r="E357" s="90">
        <v>2015</v>
      </c>
      <c r="F357" s="91" t="s">
        <v>145</v>
      </c>
      <c r="G357" s="79">
        <f t="shared" ref="G357:G363" si="23">N357/L357</f>
        <v>1679.9089013632718</v>
      </c>
      <c r="H357" s="80" t="s">
        <v>632</v>
      </c>
      <c r="I357" s="91" t="s">
        <v>27</v>
      </c>
      <c r="J357" s="87">
        <v>269</v>
      </c>
      <c r="K357" s="87">
        <v>1722</v>
      </c>
      <c r="L357" s="87">
        <v>187.05</v>
      </c>
      <c r="M357" s="82">
        <v>3.3464</v>
      </c>
      <c r="N357" s="125">
        <f>93900*M357</f>
        <v>314226.96000000002</v>
      </c>
      <c r="O357" s="84">
        <v>42207</v>
      </c>
      <c r="P357" s="25"/>
    </row>
    <row r="358" spans="1:39" s="26" customFormat="1" ht="64.95" customHeight="1" x14ac:dyDescent="0.25">
      <c r="A358" s="93">
        <v>1244</v>
      </c>
      <c r="B358" s="90" t="s">
        <v>633</v>
      </c>
      <c r="C358" s="93">
        <v>2014</v>
      </c>
      <c r="D358" s="113" t="s">
        <v>634</v>
      </c>
      <c r="E358" s="90">
        <v>2015</v>
      </c>
      <c r="F358" s="78" t="s">
        <v>155</v>
      </c>
      <c r="G358" s="79">
        <f t="shared" si="23"/>
        <v>1502.9752921251002</v>
      </c>
      <c r="H358" s="80" t="s">
        <v>635</v>
      </c>
      <c r="I358" s="91" t="s">
        <v>132</v>
      </c>
      <c r="J358" s="87">
        <v>270</v>
      </c>
      <c r="K358" s="87">
        <v>1723</v>
      </c>
      <c r="L358" s="87">
        <v>187.05</v>
      </c>
      <c r="M358" s="82">
        <v>3.3462000000000001</v>
      </c>
      <c r="N358" s="125">
        <f>84015.16*M358</f>
        <v>281131.52839200001</v>
      </c>
      <c r="O358" s="84">
        <v>42207</v>
      </c>
      <c r="P358" s="25"/>
    </row>
    <row r="359" spans="1:39" s="26" customFormat="1" ht="42.6" customHeight="1" x14ac:dyDescent="0.25">
      <c r="A359" s="93">
        <v>1245</v>
      </c>
      <c r="B359" s="90" t="s">
        <v>636</v>
      </c>
      <c r="C359" s="93">
        <v>2010</v>
      </c>
      <c r="D359" s="126" t="s">
        <v>29</v>
      </c>
      <c r="E359" s="90">
        <v>2015</v>
      </c>
      <c r="F359" s="90" t="s">
        <v>469</v>
      </c>
      <c r="G359" s="79">
        <f t="shared" si="23"/>
        <v>2660.4041700080188</v>
      </c>
      <c r="H359" s="80" t="s">
        <v>1033</v>
      </c>
      <c r="I359" s="91" t="s">
        <v>27</v>
      </c>
      <c r="J359" s="87">
        <v>271</v>
      </c>
      <c r="K359" s="87">
        <v>1724</v>
      </c>
      <c r="L359" s="87">
        <v>187.05</v>
      </c>
      <c r="M359" s="82">
        <v>30.52</v>
      </c>
      <c r="N359" s="125">
        <f>16305*M359</f>
        <v>497628.6</v>
      </c>
      <c r="O359" s="84">
        <v>42207</v>
      </c>
      <c r="P359" s="25"/>
    </row>
    <row r="360" spans="1:39" s="26" customFormat="1" ht="49.2" customHeight="1" x14ac:dyDescent="0.25">
      <c r="A360" s="93">
        <v>1246</v>
      </c>
      <c r="B360" s="90" t="s">
        <v>637</v>
      </c>
      <c r="C360" s="93">
        <v>2011</v>
      </c>
      <c r="D360" s="126" t="s">
        <v>29</v>
      </c>
      <c r="E360" s="90">
        <v>2015</v>
      </c>
      <c r="F360" s="90" t="s">
        <v>469</v>
      </c>
      <c r="G360" s="79">
        <f t="shared" si="23"/>
        <v>3769.1098636728143</v>
      </c>
      <c r="H360" s="80" t="s">
        <v>354</v>
      </c>
      <c r="I360" s="91" t="s">
        <v>27</v>
      </c>
      <c r="J360" s="87">
        <v>272</v>
      </c>
      <c r="K360" s="87">
        <v>1725</v>
      </c>
      <c r="L360" s="87">
        <v>187.05</v>
      </c>
      <c r="M360" s="82">
        <v>30.52</v>
      </c>
      <c r="N360" s="125">
        <f>23100*M360</f>
        <v>705012</v>
      </c>
      <c r="O360" s="84">
        <v>42207</v>
      </c>
      <c r="P360" s="25"/>
    </row>
    <row r="361" spans="1:39" s="26" customFormat="1" ht="48" customHeight="1" x14ac:dyDescent="0.25">
      <c r="A361" s="93">
        <v>1247</v>
      </c>
      <c r="B361" s="90" t="s">
        <v>638</v>
      </c>
      <c r="C361" s="93">
        <v>2009</v>
      </c>
      <c r="D361" s="126" t="s">
        <v>29</v>
      </c>
      <c r="E361" s="90">
        <v>2015</v>
      </c>
      <c r="F361" s="90" t="s">
        <v>469</v>
      </c>
      <c r="G361" s="79">
        <f t="shared" si="23"/>
        <v>3769.1098636728143</v>
      </c>
      <c r="H361" s="80" t="s">
        <v>354</v>
      </c>
      <c r="I361" s="91" t="s">
        <v>27</v>
      </c>
      <c r="J361" s="87">
        <v>273</v>
      </c>
      <c r="K361" s="87">
        <v>1726</v>
      </c>
      <c r="L361" s="87">
        <v>187.05</v>
      </c>
      <c r="M361" s="82">
        <v>30.52</v>
      </c>
      <c r="N361" s="125">
        <f>23100*M361</f>
        <v>705012</v>
      </c>
      <c r="O361" s="84">
        <v>42207</v>
      </c>
      <c r="P361" s="25"/>
    </row>
    <row r="362" spans="1:39" s="27" customFormat="1" ht="59.4" customHeight="1" x14ac:dyDescent="0.25">
      <c r="A362" s="93"/>
      <c r="B362" s="90" t="s">
        <v>308</v>
      </c>
      <c r="C362" s="93">
        <v>2014</v>
      </c>
      <c r="D362" s="78" t="s">
        <v>146</v>
      </c>
      <c r="E362" s="90" t="s">
        <v>642</v>
      </c>
      <c r="F362" s="90" t="s">
        <v>144</v>
      </c>
      <c r="G362" s="79">
        <f t="shared" si="23"/>
        <v>3650.8958174124568</v>
      </c>
      <c r="H362" s="80" t="s">
        <v>1092</v>
      </c>
      <c r="I362" s="91" t="s">
        <v>132</v>
      </c>
      <c r="J362" s="87">
        <v>274</v>
      </c>
      <c r="K362" s="87">
        <v>1727</v>
      </c>
      <c r="L362" s="87">
        <v>187.05</v>
      </c>
      <c r="M362" s="82">
        <v>3.3247</v>
      </c>
      <c r="N362" s="125">
        <f>205402.01*M362</f>
        <v>682900.06264700007</v>
      </c>
      <c r="O362" s="84">
        <v>42208</v>
      </c>
      <c r="P362" s="25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</row>
    <row r="363" spans="1:39" s="26" customFormat="1" ht="46.2" customHeight="1" x14ac:dyDescent="0.25">
      <c r="A363" s="93"/>
      <c r="B363" s="90" t="s">
        <v>336</v>
      </c>
      <c r="C363" s="93">
        <v>2011</v>
      </c>
      <c r="D363" s="113" t="s">
        <v>639</v>
      </c>
      <c r="E363" s="90" t="s">
        <v>195</v>
      </c>
      <c r="F363" s="78" t="s">
        <v>155</v>
      </c>
      <c r="G363" s="79">
        <f t="shared" si="23"/>
        <v>1676.2527080887462</v>
      </c>
      <c r="H363" s="80" t="s">
        <v>1018</v>
      </c>
      <c r="I363" s="91" t="s">
        <v>132</v>
      </c>
      <c r="J363" s="87">
        <v>275</v>
      </c>
      <c r="K363" s="87">
        <v>1728</v>
      </c>
      <c r="L363" s="87">
        <v>187.05</v>
      </c>
      <c r="M363" s="82">
        <v>3.3252999999999999</v>
      </c>
      <c r="N363" s="125">
        <f>94290.16*M363</f>
        <v>313543.06904799998</v>
      </c>
      <c r="O363" s="84">
        <v>42208</v>
      </c>
      <c r="P363" s="25"/>
    </row>
    <row r="364" spans="1:39" s="24" customFormat="1" ht="44.4" customHeight="1" x14ac:dyDescent="0.25">
      <c r="A364" s="93"/>
      <c r="B364" s="90" t="s">
        <v>760</v>
      </c>
      <c r="C364" s="93">
        <v>2015</v>
      </c>
      <c r="D364" s="121" t="s">
        <v>761</v>
      </c>
      <c r="E364" s="90">
        <v>2015</v>
      </c>
      <c r="F364" s="78" t="s">
        <v>91</v>
      </c>
      <c r="G364" s="79">
        <v>12100</v>
      </c>
      <c r="H364" s="80" t="s">
        <v>1114</v>
      </c>
      <c r="I364" s="91" t="s">
        <v>132</v>
      </c>
      <c r="J364" s="87">
        <v>276</v>
      </c>
      <c r="K364" s="87">
        <v>1729</v>
      </c>
      <c r="L364" s="87">
        <v>187.05</v>
      </c>
      <c r="M364" s="82"/>
      <c r="N364" s="125">
        <f>G364*L364</f>
        <v>2263305</v>
      </c>
      <c r="O364" s="84">
        <v>42212</v>
      </c>
      <c r="P364" s="25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</row>
    <row r="365" spans="1:39" s="27" customFormat="1" ht="58.95" customHeight="1" x14ac:dyDescent="0.25">
      <c r="A365" s="93">
        <v>1248</v>
      </c>
      <c r="B365" s="90" t="s">
        <v>640</v>
      </c>
      <c r="C365" s="93">
        <v>2014</v>
      </c>
      <c r="D365" s="126" t="s">
        <v>29</v>
      </c>
      <c r="E365" s="90">
        <v>2015</v>
      </c>
      <c r="F365" s="78" t="s">
        <v>373</v>
      </c>
      <c r="G365" s="79">
        <f>N365/L365</f>
        <v>3089.8999198931911</v>
      </c>
      <c r="H365" s="80" t="s">
        <v>1102</v>
      </c>
      <c r="I365" s="91" t="s">
        <v>27</v>
      </c>
      <c r="J365" s="87">
        <v>277</v>
      </c>
      <c r="K365" s="87">
        <v>1730</v>
      </c>
      <c r="L365" s="87">
        <v>187.25</v>
      </c>
      <c r="M365" s="82">
        <v>209.48</v>
      </c>
      <c r="N365" s="125">
        <f>2762*M365</f>
        <v>578583.76</v>
      </c>
      <c r="O365" s="84">
        <v>42213</v>
      </c>
      <c r="P365" s="25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</row>
    <row r="366" spans="1:39" s="26" customFormat="1" ht="75" customHeight="1" x14ac:dyDescent="0.25">
      <c r="A366" s="93">
        <v>1249</v>
      </c>
      <c r="B366" s="90" t="s">
        <v>643</v>
      </c>
      <c r="C366" s="93">
        <v>1999</v>
      </c>
      <c r="D366" s="113" t="s">
        <v>644</v>
      </c>
      <c r="E366" s="90">
        <v>2015</v>
      </c>
      <c r="F366" s="78" t="s">
        <v>91</v>
      </c>
      <c r="G366" s="79">
        <v>9000</v>
      </c>
      <c r="H366" s="80" t="s">
        <v>47</v>
      </c>
      <c r="I366" s="91" t="s">
        <v>27</v>
      </c>
      <c r="J366" s="87">
        <v>278</v>
      </c>
      <c r="K366" s="87">
        <v>1731</v>
      </c>
      <c r="L366" s="87">
        <v>187.96</v>
      </c>
      <c r="M366" s="82"/>
      <c r="N366" s="125">
        <f>G366*L366</f>
        <v>1691640</v>
      </c>
      <c r="O366" s="84">
        <v>42215</v>
      </c>
      <c r="P366" s="25"/>
    </row>
    <row r="367" spans="1:39" s="26" customFormat="1" ht="45" customHeight="1" x14ac:dyDescent="0.25">
      <c r="A367" s="93">
        <v>1250</v>
      </c>
      <c r="B367" s="90" t="s">
        <v>645</v>
      </c>
      <c r="C367" s="93">
        <v>2009</v>
      </c>
      <c r="D367" s="126" t="s">
        <v>29</v>
      </c>
      <c r="E367" s="90">
        <v>2015</v>
      </c>
      <c r="F367" s="90" t="s">
        <v>469</v>
      </c>
      <c r="G367" s="79">
        <f t="shared" ref="G367:G379" si="24">N367/L367</f>
        <v>2975.9295812216592</v>
      </c>
      <c r="H367" s="80" t="s">
        <v>1034</v>
      </c>
      <c r="I367" s="91" t="s">
        <v>27</v>
      </c>
      <c r="J367" s="87">
        <v>279</v>
      </c>
      <c r="K367" s="87">
        <v>1732</v>
      </c>
      <c r="L367" s="87">
        <v>187.45</v>
      </c>
      <c r="M367" s="82">
        <v>30.6</v>
      </c>
      <c r="N367" s="125">
        <f>18230*M367</f>
        <v>557838</v>
      </c>
      <c r="O367" s="84">
        <v>42215</v>
      </c>
      <c r="P367" s="25"/>
    </row>
    <row r="368" spans="1:39" s="26" customFormat="1" ht="43.95" customHeight="1" x14ac:dyDescent="0.25">
      <c r="A368" s="93">
        <v>1251</v>
      </c>
      <c r="B368" s="90" t="s">
        <v>646</v>
      </c>
      <c r="C368" s="93">
        <v>2013</v>
      </c>
      <c r="D368" s="126" t="s">
        <v>29</v>
      </c>
      <c r="E368" s="90">
        <v>2015</v>
      </c>
      <c r="F368" s="90" t="s">
        <v>469</v>
      </c>
      <c r="G368" s="79">
        <f t="shared" si="24"/>
        <v>3533.4062416644442</v>
      </c>
      <c r="H368" s="80" t="s">
        <v>1031</v>
      </c>
      <c r="I368" s="91" t="s">
        <v>27</v>
      </c>
      <c r="J368" s="87">
        <v>280</v>
      </c>
      <c r="K368" s="87">
        <v>1733</v>
      </c>
      <c r="L368" s="87">
        <v>187.45</v>
      </c>
      <c r="M368" s="82">
        <v>30.6</v>
      </c>
      <c r="N368" s="125">
        <f>21645*M368</f>
        <v>662337</v>
      </c>
      <c r="O368" s="84">
        <v>42215</v>
      </c>
      <c r="P368" s="25"/>
    </row>
    <row r="369" spans="1:39" s="26" customFormat="1" ht="45.6" customHeight="1" x14ac:dyDescent="0.25">
      <c r="A369" s="93">
        <v>1252</v>
      </c>
      <c r="B369" s="90" t="s">
        <v>647</v>
      </c>
      <c r="C369" s="93">
        <v>2008</v>
      </c>
      <c r="D369" s="126" t="s">
        <v>29</v>
      </c>
      <c r="E369" s="90">
        <v>2015</v>
      </c>
      <c r="F369" s="90" t="s">
        <v>469</v>
      </c>
      <c r="G369" s="79">
        <f t="shared" si="24"/>
        <v>2766.1616431048283</v>
      </c>
      <c r="H369" s="80" t="s">
        <v>1030</v>
      </c>
      <c r="I369" s="91" t="s">
        <v>27</v>
      </c>
      <c r="J369" s="87">
        <v>281</v>
      </c>
      <c r="K369" s="87">
        <v>1734</v>
      </c>
      <c r="L369" s="87">
        <v>187.45</v>
      </c>
      <c r="M369" s="82">
        <v>30.6</v>
      </c>
      <c r="N369" s="125">
        <f>16945*M369</f>
        <v>518517</v>
      </c>
      <c r="O369" s="84">
        <v>42215</v>
      </c>
      <c r="P369" s="25"/>
    </row>
    <row r="370" spans="1:39" s="24" customFormat="1" ht="42.6" customHeight="1" x14ac:dyDescent="0.25">
      <c r="A370" s="93"/>
      <c r="B370" s="90" t="s">
        <v>668</v>
      </c>
      <c r="C370" s="93">
        <v>2013</v>
      </c>
      <c r="D370" s="126" t="s">
        <v>29</v>
      </c>
      <c r="E370" s="90">
        <v>2015</v>
      </c>
      <c r="F370" s="90" t="s">
        <v>469</v>
      </c>
      <c r="G370" s="79">
        <f t="shared" si="24"/>
        <v>3770.9255801547083</v>
      </c>
      <c r="H370" s="80" t="s">
        <v>354</v>
      </c>
      <c r="I370" s="91" t="s">
        <v>27</v>
      </c>
      <c r="J370" s="87">
        <v>282</v>
      </c>
      <c r="K370" s="87">
        <v>1735</v>
      </c>
      <c r="L370" s="87">
        <v>187.45</v>
      </c>
      <c r="M370" s="82">
        <v>30.6</v>
      </c>
      <c r="N370" s="125">
        <f>23100*M370</f>
        <v>706860</v>
      </c>
      <c r="O370" s="84">
        <v>42215</v>
      </c>
      <c r="P370" s="25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</row>
    <row r="371" spans="1:39" s="26" customFormat="1" ht="46.2" customHeight="1" x14ac:dyDescent="0.25">
      <c r="A371" s="93">
        <v>1253</v>
      </c>
      <c r="B371" s="90" t="s">
        <v>648</v>
      </c>
      <c r="C371" s="93">
        <v>2007</v>
      </c>
      <c r="D371" s="126" t="s">
        <v>29</v>
      </c>
      <c r="E371" s="90">
        <v>2015</v>
      </c>
      <c r="F371" s="90" t="s">
        <v>347</v>
      </c>
      <c r="G371" s="79">
        <f t="shared" si="24"/>
        <v>3043.8773006134966</v>
      </c>
      <c r="H371" s="80" t="s">
        <v>1044</v>
      </c>
      <c r="I371" s="91" t="s">
        <v>27</v>
      </c>
      <c r="J371" s="87">
        <v>283</v>
      </c>
      <c r="K371" s="87">
        <v>1736</v>
      </c>
      <c r="L371" s="87">
        <v>187.45</v>
      </c>
      <c r="M371" s="82">
        <v>206.73</v>
      </c>
      <c r="N371" s="125">
        <f>2760*M371</f>
        <v>570574.79999999993</v>
      </c>
      <c r="O371" s="84">
        <v>42215</v>
      </c>
      <c r="P371" s="25"/>
    </row>
    <row r="372" spans="1:39" s="26" customFormat="1" ht="59.4" customHeight="1" x14ac:dyDescent="0.25">
      <c r="A372" s="93">
        <v>1254</v>
      </c>
      <c r="B372" s="90" t="s">
        <v>649</v>
      </c>
      <c r="C372" s="93">
        <v>2013</v>
      </c>
      <c r="D372" s="126" t="s">
        <v>29</v>
      </c>
      <c r="E372" s="90">
        <v>2015</v>
      </c>
      <c r="F372" s="78" t="s">
        <v>373</v>
      </c>
      <c r="G372" s="79">
        <f t="shared" si="24"/>
        <v>4036.6412376633771</v>
      </c>
      <c r="H372" s="80" t="s">
        <v>650</v>
      </c>
      <c r="I372" s="91" t="s">
        <v>27</v>
      </c>
      <c r="J372" s="87">
        <v>284</v>
      </c>
      <c r="K372" s="87">
        <v>1737</v>
      </c>
      <c r="L372" s="87">
        <v>187.45</v>
      </c>
      <c r="M372" s="82">
        <v>206.74</v>
      </c>
      <c r="N372" s="125">
        <f>3660*M372</f>
        <v>756668.4</v>
      </c>
      <c r="O372" s="84">
        <v>42215</v>
      </c>
      <c r="P372" s="25"/>
    </row>
    <row r="373" spans="1:39" s="26" customFormat="1" ht="57" customHeight="1" x14ac:dyDescent="0.25">
      <c r="A373" s="93">
        <v>1255</v>
      </c>
      <c r="B373" s="90" t="s">
        <v>651</v>
      </c>
      <c r="C373" s="93">
        <v>2013</v>
      </c>
      <c r="D373" s="126" t="s">
        <v>29</v>
      </c>
      <c r="E373" s="90">
        <v>2015</v>
      </c>
      <c r="F373" s="78" t="s">
        <v>373</v>
      </c>
      <c r="G373" s="79">
        <f t="shared" si="24"/>
        <v>3821.0197385969595</v>
      </c>
      <c r="H373" s="80" t="s">
        <v>535</v>
      </c>
      <c r="I373" s="91" t="s">
        <v>27</v>
      </c>
      <c r="J373" s="87">
        <v>285</v>
      </c>
      <c r="K373" s="87">
        <v>1738</v>
      </c>
      <c r="L373" s="87">
        <v>187.45</v>
      </c>
      <c r="M373" s="82">
        <v>206.71</v>
      </c>
      <c r="N373" s="125">
        <f>3465*M373</f>
        <v>716250.15</v>
      </c>
      <c r="O373" s="84">
        <v>42215</v>
      </c>
      <c r="P373" s="25"/>
    </row>
    <row r="374" spans="1:39" s="26" customFormat="1" ht="45" customHeight="1" x14ac:dyDescent="0.25">
      <c r="A374" s="93">
        <v>1256</v>
      </c>
      <c r="B374" s="90" t="s">
        <v>652</v>
      </c>
      <c r="C374" s="93">
        <v>2005</v>
      </c>
      <c r="D374" s="126" t="s">
        <v>29</v>
      </c>
      <c r="E374" s="90">
        <v>2015</v>
      </c>
      <c r="F374" s="90" t="s">
        <v>329</v>
      </c>
      <c r="G374" s="79">
        <f t="shared" si="24"/>
        <v>1468.6034675913579</v>
      </c>
      <c r="H374" s="80" t="s">
        <v>1012</v>
      </c>
      <c r="I374" s="91" t="s">
        <v>27</v>
      </c>
      <c r="J374" s="87">
        <v>286</v>
      </c>
      <c r="K374" s="87">
        <v>1739</v>
      </c>
      <c r="L374" s="87">
        <v>187.45</v>
      </c>
      <c r="M374" s="82">
        <v>3.2311000000000001</v>
      </c>
      <c r="N374" s="125">
        <f>85200*M374</f>
        <v>275289.72000000003</v>
      </c>
      <c r="O374" s="84">
        <v>42215</v>
      </c>
      <c r="P374" s="25"/>
    </row>
    <row r="375" spans="1:39" s="26" customFormat="1" ht="49.2" customHeight="1" x14ac:dyDescent="0.25">
      <c r="A375" s="93">
        <v>1257</v>
      </c>
      <c r="B375" s="90" t="s">
        <v>653</v>
      </c>
      <c r="C375" s="93">
        <v>2012</v>
      </c>
      <c r="D375" s="126" t="s">
        <v>29</v>
      </c>
      <c r="E375" s="90">
        <v>2015</v>
      </c>
      <c r="F375" s="90" t="s">
        <v>329</v>
      </c>
      <c r="G375" s="79">
        <f t="shared" si="24"/>
        <v>2028.1530008002137</v>
      </c>
      <c r="H375" s="80" t="s">
        <v>654</v>
      </c>
      <c r="I375" s="91" t="s">
        <v>27</v>
      </c>
      <c r="J375" s="87">
        <v>287</v>
      </c>
      <c r="K375" s="87">
        <v>1740</v>
      </c>
      <c r="L375" s="87">
        <v>187.45</v>
      </c>
      <c r="M375" s="82">
        <v>3.2328000000000001</v>
      </c>
      <c r="N375" s="125">
        <f>117600*M375</f>
        <v>380177.28</v>
      </c>
      <c r="O375" s="84">
        <v>42215</v>
      </c>
      <c r="P375" s="25"/>
    </row>
    <row r="376" spans="1:39" s="26" customFormat="1" ht="48" customHeight="1" x14ac:dyDescent="0.25">
      <c r="A376" s="93">
        <v>1258</v>
      </c>
      <c r="B376" s="90" t="s">
        <v>655</v>
      </c>
      <c r="C376" s="93">
        <v>2011</v>
      </c>
      <c r="D376" s="126" t="s">
        <v>29</v>
      </c>
      <c r="E376" s="90">
        <v>2015</v>
      </c>
      <c r="F376" s="90" t="s">
        <v>329</v>
      </c>
      <c r="G376" s="79">
        <f t="shared" si="24"/>
        <v>2400.002560682849</v>
      </c>
      <c r="H376" s="80" t="s">
        <v>656</v>
      </c>
      <c r="I376" s="91" t="s">
        <v>27</v>
      </c>
      <c r="J376" s="87">
        <v>288</v>
      </c>
      <c r="K376" s="87">
        <v>1741</v>
      </c>
      <c r="L376" s="87">
        <v>187.45</v>
      </c>
      <c r="M376" s="82">
        <v>3.2319</v>
      </c>
      <c r="N376" s="125">
        <f>139200*M376</f>
        <v>449880.48</v>
      </c>
      <c r="O376" s="84">
        <v>42215</v>
      </c>
      <c r="P376" s="25"/>
    </row>
    <row r="377" spans="1:39" s="26" customFormat="1" ht="45.6" customHeight="1" x14ac:dyDescent="0.25">
      <c r="A377" s="93">
        <v>1259</v>
      </c>
      <c r="B377" s="90" t="s">
        <v>657</v>
      </c>
      <c r="C377" s="93">
        <v>2011</v>
      </c>
      <c r="D377" s="126" t="s">
        <v>29</v>
      </c>
      <c r="E377" s="90">
        <v>2015</v>
      </c>
      <c r="F377" s="78" t="s">
        <v>105</v>
      </c>
      <c r="G377" s="79">
        <f t="shared" si="24"/>
        <v>2086.1025340090691</v>
      </c>
      <c r="H377" s="80" t="s">
        <v>658</v>
      </c>
      <c r="I377" s="91" t="s">
        <v>27</v>
      </c>
      <c r="J377" s="87">
        <v>289</v>
      </c>
      <c r="K377" s="87">
        <v>1742</v>
      </c>
      <c r="L377" s="87">
        <v>187.45</v>
      </c>
      <c r="M377" s="82">
        <v>3.2303999999999999</v>
      </c>
      <c r="N377" s="125">
        <f>121050*M377</f>
        <v>391039.92</v>
      </c>
      <c r="O377" s="84">
        <v>42215</v>
      </c>
      <c r="P377" s="25"/>
    </row>
    <row r="378" spans="1:39" s="26" customFormat="1" ht="44.4" customHeight="1" x14ac:dyDescent="0.25">
      <c r="A378" s="93">
        <v>1260</v>
      </c>
      <c r="B378" s="90" t="s">
        <v>659</v>
      </c>
      <c r="C378" s="93">
        <v>2013</v>
      </c>
      <c r="D378" s="126" t="s">
        <v>29</v>
      </c>
      <c r="E378" s="90">
        <v>2015</v>
      </c>
      <c r="F378" s="90" t="s">
        <v>145</v>
      </c>
      <c r="G378" s="79">
        <f t="shared" si="24"/>
        <v>2186.9474526540412</v>
      </c>
      <c r="H378" s="80" t="s">
        <v>660</v>
      </c>
      <c r="I378" s="91" t="s">
        <v>27</v>
      </c>
      <c r="J378" s="87">
        <v>290</v>
      </c>
      <c r="K378" s="87">
        <v>1743</v>
      </c>
      <c r="L378" s="87">
        <v>187.45</v>
      </c>
      <c r="M378" s="82">
        <v>3.2279</v>
      </c>
      <c r="N378" s="125">
        <f>127000*M378</f>
        <v>409943.3</v>
      </c>
      <c r="O378" s="84">
        <v>42215</v>
      </c>
      <c r="P378" s="25"/>
    </row>
    <row r="379" spans="1:39" s="26" customFormat="1" ht="37.950000000000003" customHeight="1" x14ac:dyDescent="0.25">
      <c r="A379" s="93">
        <v>1261</v>
      </c>
      <c r="B379" s="90" t="s">
        <v>661</v>
      </c>
      <c r="C379" s="93">
        <v>2009</v>
      </c>
      <c r="D379" s="126" t="s">
        <v>29</v>
      </c>
      <c r="E379" s="90">
        <v>2015</v>
      </c>
      <c r="F379" s="90" t="s">
        <v>164</v>
      </c>
      <c r="G379" s="79">
        <f t="shared" si="24"/>
        <v>1360.9517204587892</v>
      </c>
      <c r="H379" s="80" t="s">
        <v>662</v>
      </c>
      <c r="I379" s="91" t="s">
        <v>27</v>
      </c>
      <c r="J379" s="87">
        <v>291</v>
      </c>
      <c r="K379" s="87">
        <v>1744</v>
      </c>
      <c r="L379" s="87">
        <v>187.45</v>
      </c>
      <c r="M379" s="82">
        <v>3.3024</v>
      </c>
      <c r="N379" s="125">
        <f>77250*M379</f>
        <v>255110.39999999999</v>
      </c>
      <c r="O379" s="84">
        <v>42215</v>
      </c>
      <c r="P379" s="25"/>
    </row>
    <row r="380" spans="1:39" s="26" customFormat="1" ht="37.950000000000003" customHeight="1" x14ac:dyDescent="0.25">
      <c r="A380" s="93">
        <v>1262</v>
      </c>
      <c r="B380" s="90" t="s">
        <v>663</v>
      </c>
      <c r="C380" s="93">
        <v>2013</v>
      </c>
      <c r="D380" s="126" t="s">
        <v>29</v>
      </c>
      <c r="E380" s="90">
        <v>2015</v>
      </c>
      <c r="F380" s="90" t="s">
        <v>439</v>
      </c>
      <c r="G380" s="79">
        <v>3914</v>
      </c>
      <c r="H380" s="80" t="s">
        <v>664</v>
      </c>
      <c r="I380" s="91" t="s">
        <v>27</v>
      </c>
      <c r="J380" s="87">
        <v>292</v>
      </c>
      <c r="K380" s="87">
        <v>1745</v>
      </c>
      <c r="L380" s="87">
        <v>187.96</v>
      </c>
      <c r="M380" s="82"/>
      <c r="N380" s="125">
        <f>G380*L380</f>
        <v>735675.44000000006</v>
      </c>
      <c r="O380" s="84">
        <v>42219</v>
      </c>
      <c r="P380" s="25"/>
    </row>
    <row r="381" spans="1:39" s="26" customFormat="1" ht="40.950000000000003" customHeight="1" x14ac:dyDescent="0.25">
      <c r="A381" s="93">
        <v>1263</v>
      </c>
      <c r="B381" s="90" t="s">
        <v>665</v>
      </c>
      <c r="C381" s="93">
        <v>2011</v>
      </c>
      <c r="D381" s="126" t="s">
        <v>29</v>
      </c>
      <c r="E381" s="90">
        <v>2015</v>
      </c>
      <c r="F381" s="90" t="s">
        <v>439</v>
      </c>
      <c r="G381" s="79">
        <v>3914</v>
      </c>
      <c r="H381" s="80" t="s">
        <v>664</v>
      </c>
      <c r="I381" s="91" t="s">
        <v>27</v>
      </c>
      <c r="J381" s="87">
        <v>293</v>
      </c>
      <c r="K381" s="87">
        <v>1746</v>
      </c>
      <c r="L381" s="87">
        <v>187.96</v>
      </c>
      <c r="M381" s="82"/>
      <c r="N381" s="125">
        <f>G381*L381</f>
        <v>735675.44000000006</v>
      </c>
      <c r="O381" s="84">
        <v>42219</v>
      </c>
      <c r="P381" s="25"/>
    </row>
    <row r="382" spans="1:39" s="26" customFormat="1" ht="45.6" customHeight="1" x14ac:dyDescent="0.25">
      <c r="A382" s="93">
        <v>1264</v>
      </c>
      <c r="B382" s="90" t="s">
        <v>666</v>
      </c>
      <c r="C382" s="93">
        <v>2007</v>
      </c>
      <c r="D382" s="126" t="s">
        <v>29</v>
      </c>
      <c r="E382" s="90">
        <v>2015</v>
      </c>
      <c r="F382" s="90" t="s">
        <v>332</v>
      </c>
      <c r="G382" s="79">
        <f>N382/L382</f>
        <v>2813.5419578554288</v>
      </c>
      <c r="H382" s="80" t="s">
        <v>667</v>
      </c>
      <c r="I382" s="91" t="s">
        <v>27</v>
      </c>
      <c r="J382" s="87">
        <v>294</v>
      </c>
      <c r="K382" s="87">
        <v>1747</v>
      </c>
      <c r="L382" s="87">
        <v>187.45</v>
      </c>
      <c r="M382" s="82">
        <v>3.0788000000000002</v>
      </c>
      <c r="N382" s="125">
        <f>171300*M382</f>
        <v>527398.44000000006</v>
      </c>
      <c r="O382" s="84">
        <v>42219</v>
      </c>
      <c r="P382" s="25"/>
    </row>
    <row r="383" spans="1:39" s="26" customFormat="1" ht="39.6" customHeight="1" x14ac:dyDescent="0.25">
      <c r="A383" s="93">
        <v>1265</v>
      </c>
      <c r="B383" s="90" t="s">
        <v>668</v>
      </c>
      <c r="C383" s="93">
        <v>2013</v>
      </c>
      <c r="D383" s="126" t="s">
        <v>29</v>
      </c>
      <c r="E383" s="90">
        <v>2015</v>
      </c>
      <c r="F383" s="78" t="s">
        <v>437</v>
      </c>
      <c r="G383" s="79">
        <v>9000</v>
      </c>
      <c r="H383" s="80" t="s">
        <v>47</v>
      </c>
      <c r="I383" s="91" t="s">
        <v>27</v>
      </c>
      <c r="J383" s="87">
        <v>295</v>
      </c>
      <c r="K383" s="87">
        <v>1748</v>
      </c>
      <c r="L383" s="87">
        <v>187.96</v>
      </c>
      <c r="M383" s="82"/>
      <c r="N383" s="125">
        <f>G383*L383</f>
        <v>1691640</v>
      </c>
      <c r="O383" s="84">
        <v>42219</v>
      </c>
      <c r="P383" s="25"/>
    </row>
    <row r="384" spans="1:39" s="26" customFormat="1" ht="60.6" customHeight="1" x14ac:dyDescent="0.25">
      <c r="A384" s="93"/>
      <c r="B384" s="90" t="s">
        <v>142</v>
      </c>
      <c r="C384" s="93">
        <v>2007</v>
      </c>
      <c r="D384" s="90" t="s">
        <v>143</v>
      </c>
      <c r="E384" s="90" t="s">
        <v>197</v>
      </c>
      <c r="F384" s="90" t="s">
        <v>498</v>
      </c>
      <c r="G384" s="79">
        <f>N384/L384</f>
        <v>46.885501093624974</v>
      </c>
      <c r="H384" s="80" t="s">
        <v>669</v>
      </c>
      <c r="I384" s="91" t="s">
        <v>132</v>
      </c>
      <c r="J384" s="87"/>
      <c r="K384" s="87"/>
      <c r="L384" s="87">
        <v>187.45</v>
      </c>
      <c r="M384" s="82">
        <v>3.1486000000000001</v>
      </c>
      <c r="N384" s="125">
        <f>2791.3*M384</f>
        <v>8788.6871800000008</v>
      </c>
      <c r="O384" s="84">
        <v>42219</v>
      </c>
      <c r="P384" s="25"/>
    </row>
    <row r="385" spans="1:39" s="71" customFormat="1" ht="105" customHeight="1" x14ac:dyDescent="0.25">
      <c r="A385" s="93"/>
      <c r="B385" s="90" t="s">
        <v>82</v>
      </c>
      <c r="C385" s="93">
        <v>2011</v>
      </c>
      <c r="D385" s="113" t="s">
        <v>448</v>
      </c>
      <c r="E385" s="90" t="s">
        <v>197</v>
      </c>
      <c r="F385" s="90" t="s">
        <v>452</v>
      </c>
      <c r="G385" s="79">
        <f>N385/L385</f>
        <v>74.715412109895979</v>
      </c>
      <c r="H385" s="80" t="s">
        <v>670</v>
      </c>
      <c r="I385" s="91" t="s">
        <v>132</v>
      </c>
      <c r="J385" s="87"/>
      <c r="K385" s="87"/>
      <c r="L385" s="87">
        <v>187.45</v>
      </c>
      <c r="M385" s="82">
        <v>3.1332</v>
      </c>
      <c r="N385" s="125">
        <f>4470*M385</f>
        <v>14005.404</v>
      </c>
      <c r="O385" s="84">
        <v>42219</v>
      </c>
      <c r="P385" s="25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</row>
    <row r="386" spans="1:39" s="24" customFormat="1" ht="100.95" customHeight="1" x14ac:dyDescent="0.25">
      <c r="A386" s="93">
        <v>1266</v>
      </c>
      <c r="B386" s="90" t="s">
        <v>671</v>
      </c>
      <c r="C386" s="93">
        <v>1999</v>
      </c>
      <c r="D386" s="113" t="s">
        <v>672</v>
      </c>
      <c r="E386" s="90">
        <v>2015</v>
      </c>
      <c r="F386" s="78" t="s">
        <v>91</v>
      </c>
      <c r="G386" s="79">
        <v>30100</v>
      </c>
      <c r="H386" s="80" t="s">
        <v>1106</v>
      </c>
      <c r="I386" s="91" t="s">
        <v>132</v>
      </c>
      <c r="J386" s="87">
        <v>296</v>
      </c>
      <c r="K386" s="87">
        <v>1749</v>
      </c>
      <c r="L386" s="87">
        <v>183.78</v>
      </c>
      <c r="M386" s="82"/>
      <c r="N386" s="125">
        <f>G386*L386</f>
        <v>5531778</v>
      </c>
      <c r="O386" s="84">
        <v>42219</v>
      </c>
      <c r="P386" s="25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</row>
    <row r="387" spans="1:39" s="26" customFormat="1" ht="61.95" customHeight="1" x14ac:dyDescent="0.25">
      <c r="A387" s="93">
        <v>1267</v>
      </c>
      <c r="B387" s="90" t="s">
        <v>673</v>
      </c>
      <c r="C387" s="93">
        <v>2012</v>
      </c>
      <c r="D387" s="126" t="s">
        <v>29</v>
      </c>
      <c r="E387" s="90">
        <v>2015</v>
      </c>
      <c r="F387" s="78" t="s">
        <v>373</v>
      </c>
      <c r="G387" s="79">
        <f>N387/L387</f>
        <v>2256.494425180048</v>
      </c>
      <c r="H387" s="80" t="s">
        <v>1054</v>
      </c>
      <c r="I387" s="91" t="s">
        <v>27</v>
      </c>
      <c r="J387" s="87">
        <v>297</v>
      </c>
      <c r="K387" s="87">
        <v>1750</v>
      </c>
      <c r="L387" s="87">
        <v>187.45</v>
      </c>
      <c r="M387" s="82">
        <v>207.14</v>
      </c>
      <c r="N387" s="125">
        <f>2042*M387</f>
        <v>422979.87999999995</v>
      </c>
      <c r="O387" s="84">
        <v>42219</v>
      </c>
      <c r="P387" s="25"/>
    </row>
    <row r="388" spans="1:39" s="26" customFormat="1" ht="60.6" customHeight="1" x14ac:dyDescent="0.25">
      <c r="A388" s="93">
        <v>1268</v>
      </c>
      <c r="B388" s="90" t="s">
        <v>674</v>
      </c>
      <c r="C388" s="93">
        <v>2012</v>
      </c>
      <c r="D388" s="126" t="s">
        <v>29</v>
      </c>
      <c r="E388" s="90">
        <v>2015</v>
      </c>
      <c r="F388" s="78" t="s">
        <v>373</v>
      </c>
      <c r="G388" s="79">
        <f>N388/L388</f>
        <v>2371.1897572686053</v>
      </c>
      <c r="H388" s="80" t="s">
        <v>1053</v>
      </c>
      <c r="I388" s="91" t="s">
        <v>27</v>
      </c>
      <c r="J388" s="87">
        <v>298</v>
      </c>
      <c r="K388" s="87">
        <v>1751</v>
      </c>
      <c r="L388" s="87">
        <v>187.45</v>
      </c>
      <c r="M388" s="82">
        <v>207.12</v>
      </c>
      <c r="N388" s="125">
        <f>2146*M388</f>
        <v>444479.52</v>
      </c>
      <c r="O388" s="84">
        <v>42219</v>
      </c>
      <c r="P388" s="25"/>
    </row>
    <row r="389" spans="1:39" s="26" customFormat="1" ht="35.4" customHeight="1" x14ac:dyDescent="0.25">
      <c r="A389" s="93">
        <v>1269</v>
      </c>
      <c r="B389" s="90" t="s">
        <v>675</v>
      </c>
      <c r="C389" s="93">
        <v>2009</v>
      </c>
      <c r="D389" s="126" t="s">
        <v>29</v>
      </c>
      <c r="E389" s="90">
        <v>2015</v>
      </c>
      <c r="F389" s="78" t="s">
        <v>105</v>
      </c>
      <c r="G389" s="79">
        <f>N389/L389</f>
        <v>2149.2300613496932</v>
      </c>
      <c r="H389" s="80" t="s">
        <v>591</v>
      </c>
      <c r="I389" s="91" t="s">
        <v>27</v>
      </c>
      <c r="J389" s="87">
        <v>299</v>
      </c>
      <c r="K389" s="87">
        <v>1752</v>
      </c>
      <c r="L389" s="87">
        <v>187.45</v>
      </c>
      <c r="M389" s="82">
        <v>3.0463</v>
      </c>
      <c r="N389" s="125">
        <f>132250*M389</f>
        <v>402873.17499999999</v>
      </c>
      <c r="O389" s="84">
        <v>42219</v>
      </c>
      <c r="P389" s="25"/>
    </row>
    <row r="390" spans="1:39" s="26" customFormat="1" ht="60" customHeight="1" x14ac:dyDescent="0.25">
      <c r="A390" s="93"/>
      <c r="B390" s="90" t="s">
        <v>52</v>
      </c>
      <c r="C390" s="93">
        <v>2007</v>
      </c>
      <c r="D390" s="126" t="s">
        <v>29</v>
      </c>
      <c r="E390" s="90" t="s">
        <v>183</v>
      </c>
      <c r="F390" s="90" t="s">
        <v>456</v>
      </c>
      <c r="G390" s="79">
        <v>1432</v>
      </c>
      <c r="H390" s="80" t="s">
        <v>676</v>
      </c>
      <c r="I390" s="91" t="s">
        <v>132</v>
      </c>
      <c r="J390" s="87">
        <v>300</v>
      </c>
      <c r="K390" s="87">
        <v>1753</v>
      </c>
      <c r="L390" s="87">
        <v>183.78</v>
      </c>
      <c r="M390" s="82"/>
      <c r="N390" s="125">
        <f>G390*L390</f>
        <v>263172.96000000002</v>
      </c>
      <c r="O390" s="84">
        <v>42219</v>
      </c>
      <c r="P390" s="25"/>
    </row>
    <row r="391" spans="1:39" s="26" customFormat="1" ht="105.6" customHeight="1" x14ac:dyDescent="0.25">
      <c r="A391" s="93">
        <v>1270</v>
      </c>
      <c r="B391" s="90" t="s">
        <v>677</v>
      </c>
      <c r="C391" s="93">
        <v>2010</v>
      </c>
      <c r="D391" s="113" t="s">
        <v>678</v>
      </c>
      <c r="E391" s="90">
        <v>2015</v>
      </c>
      <c r="F391" s="90" t="s">
        <v>679</v>
      </c>
      <c r="G391" s="79">
        <f t="shared" ref="G391:G407" si="25">N391/L391</f>
        <v>6495.3854361162985</v>
      </c>
      <c r="H391" s="80" t="s">
        <v>680</v>
      </c>
      <c r="I391" s="91" t="s">
        <v>132</v>
      </c>
      <c r="J391" s="87">
        <v>301</v>
      </c>
      <c r="K391" s="87">
        <v>1754</v>
      </c>
      <c r="L391" s="87">
        <v>187.45</v>
      </c>
      <c r="M391" s="82">
        <v>3.0438999999999998</v>
      </c>
      <c r="N391" s="125">
        <f>400000*M391</f>
        <v>1217560</v>
      </c>
      <c r="O391" s="84">
        <v>42219</v>
      </c>
      <c r="P391" s="25"/>
    </row>
    <row r="392" spans="1:39" s="26" customFormat="1" ht="44.4" customHeight="1" x14ac:dyDescent="0.25">
      <c r="A392" s="93">
        <v>1271</v>
      </c>
      <c r="B392" s="90" t="s">
        <v>681</v>
      </c>
      <c r="C392" s="93">
        <v>2009</v>
      </c>
      <c r="D392" s="126" t="s">
        <v>29</v>
      </c>
      <c r="E392" s="90">
        <v>2015</v>
      </c>
      <c r="F392" s="90" t="s">
        <v>469</v>
      </c>
      <c r="G392" s="79">
        <f t="shared" si="25"/>
        <v>2930.2213923712993</v>
      </c>
      <c r="H392" s="80" t="s">
        <v>1032</v>
      </c>
      <c r="I392" s="91" t="s">
        <v>27</v>
      </c>
      <c r="J392" s="87">
        <v>302</v>
      </c>
      <c r="K392" s="87">
        <v>1755</v>
      </c>
      <c r="L392" s="87">
        <v>187.45</v>
      </c>
      <c r="M392" s="82">
        <v>30.6</v>
      </c>
      <c r="N392" s="125">
        <f>17950*M392</f>
        <v>549270</v>
      </c>
      <c r="O392" s="84">
        <v>42219</v>
      </c>
      <c r="P392" s="25"/>
    </row>
    <row r="393" spans="1:39" s="26" customFormat="1" ht="100.95" customHeight="1" x14ac:dyDescent="0.25">
      <c r="A393" s="93"/>
      <c r="B393" s="90" t="s">
        <v>682</v>
      </c>
      <c r="C393" s="93">
        <v>2002</v>
      </c>
      <c r="D393" s="78" t="s">
        <v>73</v>
      </c>
      <c r="E393" s="90" t="s">
        <v>449</v>
      </c>
      <c r="F393" s="90" t="s">
        <v>555</v>
      </c>
      <c r="G393" s="79">
        <f t="shared" si="25"/>
        <v>1291.2420272072554</v>
      </c>
      <c r="H393" s="80" t="s">
        <v>683</v>
      </c>
      <c r="I393" s="91" t="s">
        <v>132</v>
      </c>
      <c r="J393" s="87">
        <v>303</v>
      </c>
      <c r="K393" s="87">
        <v>1756</v>
      </c>
      <c r="L393" s="87">
        <v>187.45</v>
      </c>
      <c r="M393" s="82">
        <v>206.91</v>
      </c>
      <c r="N393" s="125">
        <f>1169.8*M393</f>
        <v>242043.318</v>
      </c>
      <c r="O393" s="84">
        <v>42220</v>
      </c>
      <c r="P393" s="25"/>
    </row>
    <row r="394" spans="1:39" s="26" customFormat="1" ht="73.95" customHeight="1" x14ac:dyDescent="0.25">
      <c r="A394" s="93"/>
      <c r="B394" s="90" t="s">
        <v>170</v>
      </c>
      <c r="C394" s="93">
        <v>2013</v>
      </c>
      <c r="D394" s="113" t="s">
        <v>684</v>
      </c>
      <c r="E394" s="90" t="s">
        <v>195</v>
      </c>
      <c r="F394" s="90" t="s">
        <v>555</v>
      </c>
      <c r="G394" s="79">
        <f t="shared" si="25"/>
        <v>6380.5532515337427</v>
      </c>
      <c r="H394" s="80" t="s">
        <v>685</v>
      </c>
      <c r="I394" s="91" t="s">
        <v>132</v>
      </c>
      <c r="J394" s="87">
        <v>304</v>
      </c>
      <c r="K394" s="87">
        <v>1757</v>
      </c>
      <c r="L394" s="87">
        <v>187.45</v>
      </c>
      <c r="M394" s="82">
        <v>206.93</v>
      </c>
      <c r="N394" s="125">
        <f>5779.9*M394</f>
        <v>1196034.7069999999</v>
      </c>
      <c r="O394" s="84">
        <v>42220</v>
      </c>
      <c r="P394" s="25"/>
    </row>
    <row r="395" spans="1:39" s="26" customFormat="1" ht="33" customHeight="1" x14ac:dyDescent="0.25">
      <c r="A395" s="93"/>
      <c r="B395" s="90" t="s">
        <v>121</v>
      </c>
      <c r="C395" s="93">
        <v>2010</v>
      </c>
      <c r="D395" s="121" t="s">
        <v>29</v>
      </c>
      <c r="E395" s="90" t="s">
        <v>97</v>
      </c>
      <c r="F395" s="90" t="s">
        <v>530</v>
      </c>
      <c r="G395" s="79">
        <f t="shared" si="25"/>
        <v>673.76925155363415</v>
      </c>
      <c r="H395" s="80" t="s">
        <v>1139</v>
      </c>
      <c r="I395" s="91" t="s">
        <v>27</v>
      </c>
      <c r="J395" s="87"/>
      <c r="K395" s="87"/>
      <c r="L395" s="87">
        <v>185.05</v>
      </c>
      <c r="M395" s="82"/>
      <c r="N395" s="125">
        <v>124681</v>
      </c>
      <c r="O395" s="84">
        <v>42221</v>
      </c>
      <c r="P395" s="25"/>
    </row>
    <row r="396" spans="1:39" s="26" customFormat="1" ht="38.4" customHeight="1" x14ac:dyDescent="0.25">
      <c r="A396" s="93"/>
      <c r="B396" s="90" t="s">
        <v>77</v>
      </c>
      <c r="C396" s="93">
        <v>2009</v>
      </c>
      <c r="D396" s="121" t="s">
        <v>29</v>
      </c>
      <c r="E396" s="90" t="s">
        <v>97</v>
      </c>
      <c r="F396" s="90" t="s">
        <v>530</v>
      </c>
      <c r="G396" s="79">
        <f t="shared" si="25"/>
        <v>186.37125101323966</v>
      </c>
      <c r="H396" s="80" t="s">
        <v>686</v>
      </c>
      <c r="I396" s="91" t="s">
        <v>27</v>
      </c>
      <c r="J396" s="87"/>
      <c r="K396" s="87"/>
      <c r="L396" s="87">
        <v>185.05</v>
      </c>
      <c r="M396" s="82"/>
      <c r="N396" s="125">
        <v>34488</v>
      </c>
      <c r="O396" s="84">
        <v>42221</v>
      </c>
      <c r="P396" s="25"/>
    </row>
    <row r="397" spans="1:39" s="26" customFormat="1" ht="36" customHeight="1" x14ac:dyDescent="0.25">
      <c r="A397" s="93"/>
      <c r="B397" s="90" t="s">
        <v>119</v>
      </c>
      <c r="C397" s="93">
        <v>2010</v>
      </c>
      <c r="D397" s="121" t="s">
        <v>29</v>
      </c>
      <c r="E397" s="90" t="s">
        <v>97</v>
      </c>
      <c r="F397" s="90" t="s">
        <v>530</v>
      </c>
      <c r="G397" s="79">
        <f t="shared" si="25"/>
        <v>637.66549581194272</v>
      </c>
      <c r="H397" s="80" t="s">
        <v>687</v>
      </c>
      <c r="I397" s="91" t="s">
        <v>27</v>
      </c>
      <c r="J397" s="87"/>
      <c r="K397" s="87"/>
      <c r="L397" s="87">
        <v>185.05</v>
      </c>
      <c r="M397" s="82"/>
      <c r="N397" s="125">
        <v>118000</v>
      </c>
      <c r="O397" s="84">
        <v>42221</v>
      </c>
      <c r="P397" s="25"/>
    </row>
    <row r="398" spans="1:39" s="26" customFormat="1" ht="39.6" customHeight="1" x14ac:dyDescent="0.25">
      <c r="A398" s="93"/>
      <c r="B398" s="90" t="s">
        <v>688</v>
      </c>
      <c r="C398" s="93">
        <v>2012</v>
      </c>
      <c r="D398" s="121" t="s">
        <v>29</v>
      </c>
      <c r="E398" s="90" t="s">
        <v>97</v>
      </c>
      <c r="F398" s="90" t="s">
        <v>530</v>
      </c>
      <c r="G398" s="79">
        <f t="shared" si="25"/>
        <v>95.676844096190209</v>
      </c>
      <c r="H398" s="80" t="s">
        <v>689</v>
      </c>
      <c r="I398" s="91" t="s">
        <v>27</v>
      </c>
      <c r="J398" s="87"/>
      <c r="K398" s="87"/>
      <c r="L398" s="87">
        <v>185.05</v>
      </c>
      <c r="M398" s="82"/>
      <c r="N398" s="125">
        <v>17705</v>
      </c>
      <c r="O398" s="84">
        <v>42221</v>
      </c>
      <c r="P398" s="25"/>
    </row>
    <row r="399" spans="1:39" s="26" customFormat="1" ht="38.4" customHeight="1" x14ac:dyDescent="0.25">
      <c r="A399" s="93"/>
      <c r="B399" s="90" t="s">
        <v>37</v>
      </c>
      <c r="C399" s="93">
        <v>2010</v>
      </c>
      <c r="D399" s="121" t="s">
        <v>29</v>
      </c>
      <c r="E399" s="90" t="s">
        <v>97</v>
      </c>
      <c r="F399" s="90" t="s">
        <v>530</v>
      </c>
      <c r="G399" s="79">
        <f t="shared" si="25"/>
        <v>1895.3309916238852</v>
      </c>
      <c r="H399" s="80" t="s">
        <v>690</v>
      </c>
      <c r="I399" s="91" t="s">
        <v>27</v>
      </c>
      <c r="J399" s="87"/>
      <c r="K399" s="87"/>
      <c r="L399" s="87">
        <v>185.05</v>
      </c>
      <c r="M399" s="82"/>
      <c r="N399" s="125">
        <v>350731</v>
      </c>
      <c r="O399" s="84">
        <v>42221</v>
      </c>
      <c r="P399" s="25"/>
    </row>
    <row r="400" spans="1:39" s="26" customFormat="1" ht="36.6" customHeight="1" x14ac:dyDescent="0.25">
      <c r="A400" s="93"/>
      <c r="B400" s="90" t="s">
        <v>120</v>
      </c>
      <c r="C400" s="93">
        <v>2012</v>
      </c>
      <c r="D400" s="121" t="s">
        <v>29</v>
      </c>
      <c r="E400" s="90" t="s">
        <v>97</v>
      </c>
      <c r="F400" s="90" t="s">
        <v>530</v>
      </c>
      <c r="G400" s="79">
        <f t="shared" si="25"/>
        <v>696.46041610375573</v>
      </c>
      <c r="H400" s="80" t="s">
        <v>691</v>
      </c>
      <c r="I400" s="91" t="s">
        <v>27</v>
      </c>
      <c r="J400" s="87"/>
      <c r="K400" s="87"/>
      <c r="L400" s="87">
        <v>185.05</v>
      </c>
      <c r="M400" s="82"/>
      <c r="N400" s="125">
        <v>128880</v>
      </c>
      <c r="O400" s="84">
        <v>42221</v>
      </c>
      <c r="P400" s="25"/>
    </row>
    <row r="401" spans="1:39" s="26" customFormat="1" ht="38.4" customHeight="1" x14ac:dyDescent="0.25">
      <c r="A401" s="93"/>
      <c r="B401" s="90" t="s">
        <v>72</v>
      </c>
      <c r="C401" s="93">
        <v>2009</v>
      </c>
      <c r="D401" s="121" t="s">
        <v>29</v>
      </c>
      <c r="E401" s="90" t="s">
        <v>97</v>
      </c>
      <c r="F401" s="141" t="s">
        <v>530</v>
      </c>
      <c r="G401" s="79">
        <f t="shared" si="25"/>
        <v>404.44204269116454</v>
      </c>
      <c r="H401" s="80" t="s">
        <v>692</v>
      </c>
      <c r="I401" s="91" t="s">
        <v>27</v>
      </c>
      <c r="J401" s="87"/>
      <c r="K401" s="87"/>
      <c r="L401" s="87">
        <v>185.05</v>
      </c>
      <c r="M401" s="82"/>
      <c r="N401" s="125">
        <v>74842</v>
      </c>
      <c r="O401" s="84">
        <v>42221</v>
      </c>
      <c r="P401" s="25"/>
    </row>
    <row r="402" spans="1:39" s="26" customFormat="1" ht="36.6" customHeight="1" x14ac:dyDescent="0.25">
      <c r="A402" s="93">
        <v>1272</v>
      </c>
      <c r="B402" s="90" t="s">
        <v>693</v>
      </c>
      <c r="C402" s="93">
        <v>2014</v>
      </c>
      <c r="D402" s="121" t="s">
        <v>29</v>
      </c>
      <c r="E402" s="90">
        <v>2015</v>
      </c>
      <c r="F402" s="90" t="s">
        <v>530</v>
      </c>
      <c r="G402" s="79">
        <f t="shared" si="25"/>
        <v>1611.5614082235957</v>
      </c>
      <c r="H402" s="80" t="s">
        <v>694</v>
      </c>
      <c r="I402" s="91" t="s">
        <v>27</v>
      </c>
      <c r="J402" s="87">
        <v>305</v>
      </c>
      <c r="K402" s="87">
        <v>1758</v>
      </c>
      <c r="L402" s="87">
        <v>186.05</v>
      </c>
      <c r="M402" s="82"/>
      <c r="N402" s="125">
        <v>299831</v>
      </c>
      <c r="O402" s="84">
        <v>42221</v>
      </c>
      <c r="P402" s="25"/>
    </row>
    <row r="403" spans="1:39" s="26" customFormat="1" ht="35.4" customHeight="1" x14ac:dyDescent="0.25">
      <c r="A403" s="93">
        <v>1273</v>
      </c>
      <c r="B403" s="90" t="s">
        <v>695</v>
      </c>
      <c r="C403" s="93">
        <v>2008</v>
      </c>
      <c r="D403" s="121" t="s">
        <v>29</v>
      </c>
      <c r="E403" s="90">
        <v>2015</v>
      </c>
      <c r="F403" s="90" t="s">
        <v>530</v>
      </c>
      <c r="G403" s="79">
        <f t="shared" si="25"/>
        <v>1881.0964794410104</v>
      </c>
      <c r="H403" s="80" t="s">
        <v>696</v>
      </c>
      <c r="I403" s="91" t="s">
        <v>27</v>
      </c>
      <c r="J403" s="87">
        <v>306</v>
      </c>
      <c r="K403" s="87">
        <v>1759</v>
      </c>
      <c r="L403" s="87">
        <v>186.05</v>
      </c>
      <c r="M403" s="82"/>
      <c r="N403" s="125">
        <v>349978</v>
      </c>
      <c r="O403" s="84">
        <v>42221</v>
      </c>
      <c r="P403" s="25"/>
    </row>
    <row r="404" spans="1:39" s="26" customFormat="1" ht="36" customHeight="1" x14ac:dyDescent="0.25">
      <c r="A404" s="93">
        <v>1274</v>
      </c>
      <c r="B404" s="90" t="s">
        <v>697</v>
      </c>
      <c r="C404" s="93">
        <v>2012</v>
      </c>
      <c r="D404" s="121" t="s">
        <v>29</v>
      </c>
      <c r="E404" s="90">
        <v>2015</v>
      </c>
      <c r="F404" s="90" t="s">
        <v>530</v>
      </c>
      <c r="G404" s="79">
        <f t="shared" si="25"/>
        <v>1867.1699119765271</v>
      </c>
      <c r="H404" s="80" t="s">
        <v>698</v>
      </c>
      <c r="I404" s="91" t="s">
        <v>27</v>
      </c>
      <c r="J404" s="87">
        <v>307</v>
      </c>
      <c r="K404" s="87">
        <v>1760</v>
      </c>
      <c r="L404" s="87">
        <v>187.45</v>
      </c>
      <c r="M404" s="82"/>
      <c r="N404" s="125">
        <v>350001</v>
      </c>
      <c r="O404" s="84">
        <v>42221</v>
      </c>
      <c r="P404" s="25"/>
    </row>
    <row r="405" spans="1:39" s="26" customFormat="1" ht="33" customHeight="1" x14ac:dyDescent="0.25">
      <c r="A405" s="93">
        <v>1275</v>
      </c>
      <c r="B405" s="90" t="s">
        <v>699</v>
      </c>
      <c r="C405" s="93">
        <v>2007</v>
      </c>
      <c r="D405" s="121" t="s">
        <v>29</v>
      </c>
      <c r="E405" s="90">
        <v>2015</v>
      </c>
      <c r="F405" s="90" t="s">
        <v>530</v>
      </c>
      <c r="G405" s="79">
        <f t="shared" si="25"/>
        <v>1867.1699119765271</v>
      </c>
      <c r="H405" s="80" t="s">
        <v>698</v>
      </c>
      <c r="I405" s="91" t="s">
        <v>27</v>
      </c>
      <c r="J405" s="87">
        <v>308</v>
      </c>
      <c r="K405" s="87">
        <v>1761</v>
      </c>
      <c r="L405" s="87">
        <v>187.45</v>
      </c>
      <c r="M405" s="82"/>
      <c r="N405" s="125">
        <v>350001</v>
      </c>
      <c r="O405" s="84">
        <v>42221</v>
      </c>
      <c r="P405" s="25"/>
    </row>
    <row r="406" spans="1:39" s="26" customFormat="1" ht="34.950000000000003" customHeight="1" x14ac:dyDescent="0.25">
      <c r="A406" s="93">
        <v>1276</v>
      </c>
      <c r="B406" s="90" t="s">
        <v>700</v>
      </c>
      <c r="C406" s="93">
        <v>2006</v>
      </c>
      <c r="D406" s="121" t="s">
        <v>29</v>
      </c>
      <c r="E406" s="90">
        <v>2015</v>
      </c>
      <c r="F406" s="90" t="s">
        <v>530</v>
      </c>
      <c r="G406" s="79">
        <f t="shared" si="25"/>
        <v>1621.4990664177114</v>
      </c>
      <c r="H406" s="80" t="s">
        <v>701</v>
      </c>
      <c r="I406" s="91" t="s">
        <v>27</v>
      </c>
      <c r="J406" s="87">
        <v>309</v>
      </c>
      <c r="K406" s="87">
        <v>1762</v>
      </c>
      <c r="L406" s="87">
        <v>187.45</v>
      </c>
      <c r="M406" s="82"/>
      <c r="N406" s="125">
        <v>303950</v>
      </c>
      <c r="O406" s="84">
        <v>42221</v>
      </c>
      <c r="P406" s="25"/>
    </row>
    <row r="407" spans="1:39" s="26" customFormat="1" ht="37.200000000000003" customHeight="1" x14ac:dyDescent="0.25">
      <c r="A407" s="93">
        <v>1277</v>
      </c>
      <c r="B407" s="90" t="s">
        <v>702</v>
      </c>
      <c r="C407" s="93">
        <v>2010</v>
      </c>
      <c r="D407" s="121" t="s">
        <v>29</v>
      </c>
      <c r="E407" s="90">
        <v>2015</v>
      </c>
      <c r="F407" s="90" t="s">
        <v>530</v>
      </c>
      <c r="G407" s="79">
        <f t="shared" si="25"/>
        <v>1816.8204854627902</v>
      </c>
      <c r="H407" s="80" t="s">
        <v>703</v>
      </c>
      <c r="I407" s="91" t="s">
        <v>27</v>
      </c>
      <c r="J407" s="87">
        <v>310</v>
      </c>
      <c r="K407" s="87">
        <v>1763</v>
      </c>
      <c r="L407" s="87">
        <v>187.45</v>
      </c>
      <c r="M407" s="82"/>
      <c r="N407" s="125">
        <v>340563</v>
      </c>
      <c r="O407" s="84">
        <v>42221</v>
      </c>
      <c r="P407" s="25"/>
    </row>
    <row r="408" spans="1:39" s="26" customFormat="1" ht="37.950000000000003" customHeight="1" x14ac:dyDescent="0.25">
      <c r="A408" s="173"/>
      <c r="B408" s="175" t="s">
        <v>668</v>
      </c>
      <c r="C408" s="173">
        <v>2013</v>
      </c>
      <c r="D408" s="177" t="s">
        <v>29</v>
      </c>
      <c r="E408" s="175" t="s">
        <v>197</v>
      </c>
      <c r="F408" s="175" t="s">
        <v>437</v>
      </c>
      <c r="G408" s="79">
        <v>9000</v>
      </c>
      <c r="H408" s="80" t="s">
        <v>47</v>
      </c>
      <c r="I408" s="91" t="s">
        <v>27</v>
      </c>
      <c r="J408" s="87"/>
      <c r="K408" s="87"/>
      <c r="L408" s="87">
        <v>188.16</v>
      </c>
      <c r="M408" s="82"/>
      <c r="N408" s="125">
        <f>G408*L408</f>
        <v>1693440</v>
      </c>
      <c r="O408" s="84">
        <v>42221</v>
      </c>
      <c r="P408" s="25"/>
    </row>
    <row r="409" spans="1:39" s="26" customFormat="1" ht="40.200000000000003" customHeight="1" x14ac:dyDescent="0.25">
      <c r="A409" s="174"/>
      <c r="B409" s="176"/>
      <c r="C409" s="174"/>
      <c r="D409" s="187"/>
      <c r="E409" s="176"/>
      <c r="F409" s="176"/>
      <c r="G409" s="79">
        <v>1500</v>
      </c>
      <c r="H409" s="80" t="s">
        <v>99</v>
      </c>
      <c r="I409" s="91" t="s">
        <v>27</v>
      </c>
      <c r="J409" s="87"/>
      <c r="K409" s="87"/>
      <c r="L409" s="87">
        <v>188.16</v>
      </c>
      <c r="M409" s="82"/>
      <c r="N409" s="125">
        <f>G409*L409</f>
        <v>282240</v>
      </c>
      <c r="O409" s="84">
        <v>42222</v>
      </c>
      <c r="P409" s="25"/>
    </row>
    <row r="410" spans="1:39" s="26" customFormat="1" ht="76.2" customHeight="1" x14ac:dyDescent="0.25">
      <c r="A410" s="93"/>
      <c r="B410" s="90" t="s">
        <v>643</v>
      </c>
      <c r="C410" s="93">
        <v>1999</v>
      </c>
      <c r="D410" s="113" t="s">
        <v>644</v>
      </c>
      <c r="E410" s="90" t="s">
        <v>197</v>
      </c>
      <c r="F410" s="78" t="s">
        <v>91</v>
      </c>
      <c r="G410" s="79">
        <v>3000</v>
      </c>
      <c r="H410" s="80" t="s">
        <v>81</v>
      </c>
      <c r="I410" s="91" t="s">
        <v>27</v>
      </c>
      <c r="J410" s="87"/>
      <c r="K410" s="87"/>
      <c r="L410" s="87">
        <v>188.16</v>
      </c>
      <c r="M410" s="82"/>
      <c r="N410" s="125">
        <f>G410*L410</f>
        <v>564480</v>
      </c>
      <c r="O410" s="84">
        <v>42221</v>
      </c>
      <c r="P410" s="25"/>
    </row>
    <row r="411" spans="1:39" s="24" customFormat="1" ht="43.95" customHeight="1" x14ac:dyDescent="0.25">
      <c r="A411" s="93">
        <v>1278</v>
      </c>
      <c r="B411" s="90" t="s">
        <v>1101</v>
      </c>
      <c r="C411" s="93">
        <v>2014</v>
      </c>
      <c r="D411" s="121" t="s">
        <v>29</v>
      </c>
      <c r="E411" s="90">
        <v>2015</v>
      </c>
      <c r="F411" s="90" t="s">
        <v>469</v>
      </c>
      <c r="G411" s="79">
        <f t="shared" ref="G411:G420" si="26">N411/L411</f>
        <v>3769.3685051958432</v>
      </c>
      <c r="H411" s="80" t="s">
        <v>354</v>
      </c>
      <c r="I411" s="91" t="s">
        <v>27</v>
      </c>
      <c r="J411" s="87">
        <v>311</v>
      </c>
      <c r="K411" s="87">
        <v>1764</v>
      </c>
      <c r="L411" s="87">
        <v>187.65</v>
      </c>
      <c r="M411" s="82">
        <v>30.62</v>
      </c>
      <c r="N411" s="125">
        <f t="shared" ref="N411:N416" si="27">23100*M411</f>
        <v>707322</v>
      </c>
      <c r="O411" s="84">
        <v>42221</v>
      </c>
      <c r="P411" s="25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</row>
    <row r="412" spans="1:39" s="26" customFormat="1" ht="42.6" customHeight="1" x14ac:dyDescent="0.25">
      <c r="A412" s="93">
        <v>1279</v>
      </c>
      <c r="B412" s="90" t="s">
        <v>704</v>
      </c>
      <c r="C412" s="93">
        <v>2013</v>
      </c>
      <c r="D412" s="121" t="s">
        <v>29</v>
      </c>
      <c r="E412" s="90">
        <v>2015</v>
      </c>
      <c r="F412" s="90" t="s">
        <v>469</v>
      </c>
      <c r="G412" s="79">
        <f t="shared" si="26"/>
        <v>3769.3685051958432</v>
      </c>
      <c r="H412" s="80" t="s">
        <v>354</v>
      </c>
      <c r="I412" s="91" t="s">
        <v>27</v>
      </c>
      <c r="J412" s="87">
        <v>312</v>
      </c>
      <c r="K412" s="87">
        <v>1765</v>
      </c>
      <c r="L412" s="87">
        <v>187.65</v>
      </c>
      <c r="M412" s="82">
        <v>30.62</v>
      </c>
      <c r="N412" s="125">
        <f t="shared" si="27"/>
        <v>707322</v>
      </c>
      <c r="O412" s="84">
        <v>42221</v>
      </c>
      <c r="P412" s="25"/>
    </row>
    <row r="413" spans="1:39" s="26" customFormat="1" ht="45.6" customHeight="1" x14ac:dyDescent="0.25">
      <c r="A413" s="93">
        <v>1280</v>
      </c>
      <c r="B413" s="90" t="s">
        <v>705</v>
      </c>
      <c r="C413" s="93">
        <v>2014</v>
      </c>
      <c r="D413" s="121" t="s">
        <v>29</v>
      </c>
      <c r="E413" s="90">
        <v>2015</v>
      </c>
      <c r="F413" s="90" t="s">
        <v>469</v>
      </c>
      <c r="G413" s="79">
        <f t="shared" si="26"/>
        <v>3769.3685051958432</v>
      </c>
      <c r="H413" s="80" t="s">
        <v>354</v>
      </c>
      <c r="I413" s="91" t="s">
        <v>27</v>
      </c>
      <c r="J413" s="87">
        <v>313</v>
      </c>
      <c r="K413" s="87">
        <v>1766</v>
      </c>
      <c r="L413" s="87">
        <v>187.65</v>
      </c>
      <c r="M413" s="82">
        <v>30.62</v>
      </c>
      <c r="N413" s="125">
        <f t="shared" si="27"/>
        <v>707322</v>
      </c>
      <c r="O413" s="84">
        <v>42221</v>
      </c>
      <c r="P413" s="25"/>
    </row>
    <row r="414" spans="1:39" s="26" customFormat="1" ht="42" customHeight="1" x14ac:dyDescent="0.25">
      <c r="A414" s="93">
        <v>1281</v>
      </c>
      <c r="B414" s="90" t="s">
        <v>706</v>
      </c>
      <c r="C414" s="93">
        <v>2011</v>
      </c>
      <c r="D414" s="121" t="s">
        <v>29</v>
      </c>
      <c r="E414" s="90">
        <v>2015</v>
      </c>
      <c r="F414" s="90" t="s">
        <v>469</v>
      </c>
      <c r="G414" s="79">
        <f t="shared" si="26"/>
        <v>3769.3685051958432</v>
      </c>
      <c r="H414" s="80" t="s">
        <v>354</v>
      </c>
      <c r="I414" s="91" t="s">
        <v>27</v>
      </c>
      <c r="J414" s="87">
        <v>314</v>
      </c>
      <c r="K414" s="87">
        <v>1767</v>
      </c>
      <c r="L414" s="87">
        <v>187.65</v>
      </c>
      <c r="M414" s="82">
        <v>30.62</v>
      </c>
      <c r="N414" s="125">
        <f t="shared" si="27"/>
        <v>707322</v>
      </c>
      <c r="O414" s="84">
        <v>42221</v>
      </c>
      <c r="P414" s="25"/>
    </row>
    <row r="415" spans="1:39" s="26" customFormat="1" ht="45.6" customHeight="1" x14ac:dyDescent="0.25">
      <c r="A415" s="93">
        <v>1282</v>
      </c>
      <c r="B415" s="90" t="s">
        <v>707</v>
      </c>
      <c r="C415" s="93">
        <v>2011</v>
      </c>
      <c r="D415" s="121" t="s">
        <v>29</v>
      </c>
      <c r="E415" s="90">
        <v>2015</v>
      </c>
      <c r="F415" s="90" t="s">
        <v>469</v>
      </c>
      <c r="G415" s="79">
        <f t="shared" si="26"/>
        <v>3769.3685051958432</v>
      </c>
      <c r="H415" s="80" t="s">
        <v>354</v>
      </c>
      <c r="I415" s="91" t="s">
        <v>27</v>
      </c>
      <c r="J415" s="87">
        <v>315</v>
      </c>
      <c r="K415" s="87">
        <v>1768</v>
      </c>
      <c r="L415" s="87">
        <v>187.65</v>
      </c>
      <c r="M415" s="82">
        <v>30.62</v>
      </c>
      <c r="N415" s="125">
        <f t="shared" si="27"/>
        <v>707322</v>
      </c>
      <c r="O415" s="84">
        <v>42221</v>
      </c>
      <c r="P415" s="25"/>
    </row>
    <row r="416" spans="1:39" s="26" customFormat="1" ht="45.6" customHeight="1" x14ac:dyDescent="0.25">
      <c r="A416" s="93">
        <v>1283</v>
      </c>
      <c r="B416" s="90" t="s">
        <v>708</v>
      </c>
      <c r="C416" s="93">
        <v>2010</v>
      </c>
      <c r="D416" s="121" t="s">
        <v>29</v>
      </c>
      <c r="E416" s="90">
        <v>2015</v>
      </c>
      <c r="F416" s="90" t="s">
        <v>469</v>
      </c>
      <c r="G416" s="79">
        <f t="shared" si="26"/>
        <v>3769.3685051958432</v>
      </c>
      <c r="H416" s="80" t="s">
        <v>354</v>
      </c>
      <c r="I416" s="91" t="s">
        <v>27</v>
      </c>
      <c r="J416" s="87">
        <v>316</v>
      </c>
      <c r="K416" s="87">
        <v>1769</v>
      </c>
      <c r="L416" s="87">
        <v>187.65</v>
      </c>
      <c r="M416" s="82">
        <v>30.62</v>
      </c>
      <c r="N416" s="125">
        <f t="shared" si="27"/>
        <v>707322</v>
      </c>
      <c r="O416" s="84">
        <v>42221</v>
      </c>
      <c r="P416" s="25"/>
    </row>
    <row r="417" spans="1:39" s="26" customFormat="1" ht="45" customHeight="1" x14ac:dyDescent="0.25">
      <c r="A417" s="93">
        <v>1284</v>
      </c>
      <c r="B417" s="90" t="s">
        <v>709</v>
      </c>
      <c r="C417" s="93">
        <v>2012</v>
      </c>
      <c r="D417" s="121" t="s">
        <v>29</v>
      </c>
      <c r="E417" s="90">
        <v>2015</v>
      </c>
      <c r="F417" s="90" t="s">
        <v>710</v>
      </c>
      <c r="G417" s="79">
        <f t="shared" si="26"/>
        <v>2610.818012256861</v>
      </c>
      <c r="H417" s="80" t="s">
        <v>711</v>
      </c>
      <c r="I417" s="91" t="s">
        <v>27</v>
      </c>
      <c r="J417" s="87">
        <v>317</v>
      </c>
      <c r="K417" s="87">
        <v>1770</v>
      </c>
      <c r="L417" s="87">
        <v>187.65</v>
      </c>
      <c r="M417" s="82">
        <v>30.62</v>
      </c>
      <c r="N417" s="125">
        <f>16000*M417</f>
        <v>489920</v>
      </c>
      <c r="O417" s="84">
        <v>42221</v>
      </c>
      <c r="P417" s="25"/>
    </row>
    <row r="418" spans="1:39" s="71" customFormat="1" ht="45.6" customHeight="1" x14ac:dyDescent="0.25">
      <c r="A418" s="173">
        <v>1285</v>
      </c>
      <c r="B418" s="175" t="s">
        <v>712</v>
      </c>
      <c r="C418" s="173">
        <v>2005</v>
      </c>
      <c r="D418" s="177" t="s">
        <v>713</v>
      </c>
      <c r="E418" s="175">
        <v>2015</v>
      </c>
      <c r="F418" s="175" t="s">
        <v>714</v>
      </c>
      <c r="G418" s="153">
        <f t="shared" si="26"/>
        <v>8417.610432187581</v>
      </c>
      <c r="H418" s="155" t="s">
        <v>1055</v>
      </c>
      <c r="I418" s="161" t="s">
        <v>715</v>
      </c>
      <c r="J418" s="157">
        <v>318</v>
      </c>
      <c r="K418" s="157">
        <v>1771</v>
      </c>
      <c r="L418" s="157">
        <v>187.65</v>
      </c>
      <c r="M418" s="145">
        <v>205.04</v>
      </c>
      <c r="N418" s="147">
        <f>7703.69*M418</f>
        <v>1579564.5975999997</v>
      </c>
      <c r="O418" s="149">
        <v>42221</v>
      </c>
      <c r="P418" s="25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</row>
    <row r="419" spans="1:39" s="71" customFormat="1" ht="15" customHeight="1" x14ac:dyDescent="0.25">
      <c r="A419" s="174"/>
      <c r="B419" s="176"/>
      <c r="C419" s="174"/>
      <c r="D419" s="178"/>
      <c r="E419" s="176"/>
      <c r="F419" s="176"/>
      <c r="G419" s="154"/>
      <c r="H419" s="156"/>
      <c r="I419" s="162"/>
      <c r="J419" s="158"/>
      <c r="K419" s="158"/>
      <c r="L419" s="158"/>
      <c r="M419" s="146"/>
      <c r="N419" s="148"/>
      <c r="O419" s="150"/>
      <c r="P419" s="25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</row>
    <row r="420" spans="1:39" s="26" customFormat="1" ht="34.200000000000003" customHeight="1" x14ac:dyDescent="0.25">
      <c r="A420" s="93">
        <v>1286</v>
      </c>
      <c r="B420" s="90" t="s">
        <v>716</v>
      </c>
      <c r="C420" s="93">
        <v>2009</v>
      </c>
      <c r="D420" s="121" t="s">
        <v>29</v>
      </c>
      <c r="E420" s="90">
        <v>2015</v>
      </c>
      <c r="F420" s="78" t="s">
        <v>105</v>
      </c>
      <c r="G420" s="79">
        <f t="shared" si="26"/>
        <v>2359.0618705035968</v>
      </c>
      <c r="H420" s="80" t="s">
        <v>717</v>
      </c>
      <c r="I420" s="91" t="s">
        <v>27</v>
      </c>
      <c r="J420" s="87">
        <v>319</v>
      </c>
      <c r="K420" s="87">
        <v>1772</v>
      </c>
      <c r="L420" s="87">
        <v>187.65</v>
      </c>
      <c r="M420" s="82">
        <v>3.0455999999999999</v>
      </c>
      <c r="N420" s="125">
        <f>145350*M420</f>
        <v>442677.95999999996</v>
      </c>
      <c r="O420" s="84">
        <v>42221</v>
      </c>
      <c r="P420" s="25"/>
    </row>
    <row r="421" spans="1:39" s="26" customFormat="1" ht="70.95" customHeight="1" x14ac:dyDescent="0.25">
      <c r="A421" s="93">
        <v>1287</v>
      </c>
      <c r="B421" s="90" t="s">
        <v>718</v>
      </c>
      <c r="C421" s="93">
        <v>2012</v>
      </c>
      <c r="D421" s="113" t="s">
        <v>719</v>
      </c>
      <c r="E421" s="90">
        <v>2015</v>
      </c>
      <c r="F421" s="78" t="s">
        <v>102</v>
      </c>
      <c r="G421" s="79">
        <v>5000</v>
      </c>
      <c r="H421" s="80" t="s">
        <v>98</v>
      </c>
      <c r="I421" s="91" t="s">
        <v>27</v>
      </c>
      <c r="J421" s="87">
        <v>320</v>
      </c>
      <c r="K421" s="87">
        <v>1773</v>
      </c>
      <c r="L421" s="87">
        <v>188.16</v>
      </c>
      <c r="M421" s="82"/>
      <c r="N421" s="125">
        <f>G421*L421</f>
        <v>940800</v>
      </c>
      <c r="O421" s="84">
        <v>42222</v>
      </c>
      <c r="P421" s="25"/>
    </row>
    <row r="422" spans="1:39" s="26" customFormat="1" ht="44.4" customHeight="1" x14ac:dyDescent="0.25">
      <c r="A422" s="93">
        <v>1288</v>
      </c>
      <c r="B422" s="90" t="s">
        <v>720</v>
      </c>
      <c r="C422" s="93">
        <v>2009</v>
      </c>
      <c r="D422" s="121" t="s">
        <v>29</v>
      </c>
      <c r="E422" s="90">
        <v>2015</v>
      </c>
      <c r="F422" s="90" t="s">
        <v>469</v>
      </c>
      <c r="G422" s="79">
        <f>N422/L422</f>
        <v>3506.9840127897678</v>
      </c>
      <c r="H422" s="80" t="s">
        <v>1029</v>
      </c>
      <c r="I422" s="91" t="s">
        <v>27</v>
      </c>
      <c r="J422" s="87">
        <v>321</v>
      </c>
      <c r="K422" s="87">
        <v>1774</v>
      </c>
      <c r="L422" s="87">
        <v>187.65</v>
      </c>
      <c r="M422" s="82">
        <v>30.63</v>
      </c>
      <c r="N422" s="125">
        <f>21485*M422</f>
        <v>658085.54999999993</v>
      </c>
      <c r="O422" s="84">
        <v>42222</v>
      </c>
      <c r="P422" s="25"/>
    </row>
    <row r="423" spans="1:39" s="26" customFormat="1" ht="32.4" customHeight="1" x14ac:dyDescent="0.25">
      <c r="A423" s="93">
        <v>1289</v>
      </c>
      <c r="B423" s="90" t="s">
        <v>722</v>
      </c>
      <c r="C423" s="93">
        <v>2001</v>
      </c>
      <c r="D423" s="121" t="s">
        <v>29</v>
      </c>
      <c r="E423" s="90">
        <v>2015</v>
      </c>
      <c r="F423" s="90" t="s">
        <v>334</v>
      </c>
      <c r="G423" s="79">
        <f>N423/L423</f>
        <v>2118.3568238742337</v>
      </c>
      <c r="H423" s="80" t="s">
        <v>723</v>
      </c>
      <c r="I423" s="91" t="s">
        <v>27</v>
      </c>
      <c r="J423" s="87">
        <v>322</v>
      </c>
      <c r="K423" s="87">
        <v>1775</v>
      </c>
      <c r="L423" s="87">
        <v>187.65</v>
      </c>
      <c r="M423" s="82">
        <v>3.0036999999999998</v>
      </c>
      <c r="N423" s="125">
        <f>132340*M423</f>
        <v>397509.658</v>
      </c>
      <c r="O423" s="84">
        <v>42222</v>
      </c>
      <c r="P423" s="25"/>
    </row>
    <row r="424" spans="1:39" s="26" customFormat="1" ht="34.200000000000003" customHeight="1" x14ac:dyDescent="0.25">
      <c r="A424" s="93">
        <v>1290</v>
      </c>
      <c r="B424" s="90" t="s">
        <v>724</v>
      </c>
      <c r="C424" s="93">
        <v>2012</v>
      </c>
      <c r="D424" s="121" t="s">
        <v>29</v>
      </c>
      <c r="E424" s="90">
        <v>2015</v>
      </c>
      <c r="F424" s="90" t="s">
        <v>334</v>
      </c>
      <c r="G424" s="79">
        <f>N424/L424</f>
        <v>2060.2514894750866</v>
      </c>
      <c r="H424" s="80" t="s">
        <v>1064</v>
      </c>
      <c r="I424" s="91" t="s">
        <v>27</v>
      </c>
      <c r="J424" s="87">
        <v>323</v>
      </c>
      <c r="K424" s="87">
        <v>1776</v>
      </c>
      <c r="L424" s="87">
        <v>187.65</v>
      </c>
      <c r="M424" s="82">
        <v>3.0044</v>
      </c>
      <c r="N424" s="125">
        <f>128680*M424</f>
        <v>386606.19199999998</v>
      </c>
      <c r="O424" s="84">
        <v>42222</v>
      </c>
      <c r="P424" s="25"/>
    </row>
    <row r="425" spans="1:39" s="71" customFormat="1" ht="88.2" customHeight="1" x14ac:dyDescent="0.25">
      <c r="A425" s="93"/>
      <c r="B425" s="90" t="s">
        <v>511</v>
      </c>
      <c r="C425" s="93">
        <v>2013</v>
      </c>
      <c r="D425" s="113" t="s">
        <v>512</v>
      </c>
      <c r="E425" s="90" t="s">
        <v>197</v>
      </c>
      <c r="F425" s="90" t="s">
        <v>452</v>
      </c>
      <c r="G425" s="79">
        <f>N425/L425</f>
        <v>1920.589851318945</v>
      </c>
      <c r="H425" s="80" t="s">
        <v>1087</v>
      </c>
      <c r="I425" s="91" t="s">
        <v>132</v>
      </c>
      <c r="J425" s="87"/>
      <c r="K425" s="87"/>
      <c r="L425" s="87">
        <v>187.65</v>
      </c>
      <c r="M425" s="82">
        <v>2.9786000000000001</v>
      </c>
      <c r="N425" s="125">
        <f>120996*M425</f>
        <v>360398.68560000003</v>
      </c>
      <c r="O425" s="84">
        <v>42222</v>
      </c>
      <c r="P425" s="25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</row>
    <row r="426" spans="1:39" s="26" customFormat="1" ht="45.6" customHeight="1" x14ac:dyDescent="0.25">
      <c r="A426" s="93">
        <v>1291</v>
      </c>
      <c r="B426" s="90" t="s">
        <v>725</v>
      </c>
      <c r="C426" s="93">
        <v>2013</v>
      </c>
      <c r="D426" s="113" t="s">
        <v>726</v>
      </c>
      <c r="E426" s="90">
        <v>2015</v>
      </c>
      <c r="F426" s="90" t="s">
        <v>469</v>
      </c>
      <c r="G426" s="79">
        <f>N426/L426</f>
        <v>3701.4107000266172</v>
      </c>
      <c r="H426" s="80" t="s">
        <v>354</v>
      </c>
      <c r="I426" s="91" t="s">
        <v>27</v>
      </c>
      <c r="J426" s="87">
        <v>324</v>
      </c>
      <c r="K426" s="87">
        <v>1777</v>
      </c>
      <c r="L426" s="87">
        <v>187.85</v>
      </c>
      <c r="M426" s="82">
        <v>30.1</v>
      </c>
      <c r="N426" s="125">
        <f>23100*M426</f>
        <v>695310</v>
      </c>
      <c r="O426" s="84">
        <v>42227</v>
      </c>
      <c r="P426" s="25"/>
    </row>
    <row r="427" spans="1:39" s="26" customFormat="1" ht="128.4" customHeight="1" x14ac:dyDescent="0.25">
      <c r="A427" s="93"/>
      <c r="B427" s="90" t="s">
        <v>33</v>
      </c>
      <c r="C427" s="93">
        <v>2007</v>
      </c>
      <c r="D427" s="113" t="s">
        <v>727</v>
      </c>
      <c r="E427" s="90" t="s">
        <v>429</v>
      </c>
      <c r="F427" s="78" t="s">
        <v>102</v>
      </c>
      <c r="G427" s="79">
        <v>9000</v>
      </c>
      <c r="H427" s="80" t="s">
        <v>47</v>
      </c>
      <c r="I427" s="91" t="s">
        <v>132</v>
      </c>
      <c r="J427" s="87">
        <v>325</v>
      </c>
      <c r="K427" s="87">
        <v>1778</v>
      </c>
      <c r="L427" s="87">
        <v>183.78</v>
      </c>
      <c r="M427" s="82"/>
      <c r="N427" s="125">
        <f>G427*L427</f>
        <v>1654020</v>
      </c>
      <c r="O427" s="84">
        <v>42228</v>
      </c>
      <c r="P427" s="25"/>
    </row>
    <row r="428" spans="1:39" s="26" customFormat="1" ht="46.95" customHeight="1" x14ac:dyDescent="0.25">
      <c r="A428" s="93">
        <v>1292</v>
      </c>
      <c r="B428" s="90" t="s">
        <v>728</v>
      </c>
      <c r="C428" s="93">
        <v>2012</v>
      </c>
      <c r="D428" s="121" t="s">
        <v>29</v>
      </c>
      <c r="E428" s="90">
        <v>2015</v>
      </c>
      <c r="F428" s="90" t="s">
        <v>469</v>
      </c>
      <c r="G428" s="79">
        <f>N428/L428</f>
        <v>3635.0066542454088</v>
      </c>
      <c r="H428" s="80" t="s">
        <v>354</v>
      </c>
      <c r="I428" s="91" t="s">
        <v>27</v>
      </c>
      <c r="J428" s="87">
        <v>326</v>
      </c>
      <c r="K428" s="87">
        <v>1779</v>
      </c>
      <c r="L428" s="87">
        <v>187.85</v>
      </c>
      <c r="M428" s="82">
        <v>29.56</v>
      </c>
      <c r="N428" s="125">
        <f>23100*M428</f>
        <v>682836</v>
      </c>
      <c r="O428" s="84">
        <v>42228</v>
      </c>
      <c r="P428" s="25"/>
    </row>
    <row r="429" spans="1:39" s="26" customFormat="1" ht="58.95" customHeight="1" x14ac:dyDescent="0.25">
      <c r="A429" s="93">
        <v>1293</v>
      </c>
      <c r="B429" s="90" t="s">
        <v>729</v>
      </c>
      <c r="C429" s="93">
        <v>2014</v>
      </c>
      <c r="D429" s="121" t="s">
        <v>29</v>
      </c>
      <c r="E429" s="90">
        <v>2015</v>
      </c>
      <c r="F429" s="78" t="s">
        <v>44</v>
      </c>
      <c r="G429" s="79">
        <v>4000</v>
      </c>
      <c r="H429" s="80" t="s">
        <v>95</v>
      </c>
      <c r="I429" s="91" t="s">
        <v>27</v>
      </c>
      <c r="J429" s="87">
        <v>327</v>
      </c>
      <c r="K429" s="87">
        <v>1780</v>
      </c>
      <c r="L429" s="87">
        <v>188.36</v>
      </c>
      <c r="M429" s="82"/>
      <c r="N429" s="125">
        <f>G429*L429</f>
        <v>753440</v>
      </c>
      <c r="O429" s="84">
        <v>42228</v>
      </c>
      <c r="P429" s="25"/>
    </row>
    <row r="430" spans="1:39" s="26" customFormat="1" ht="61.2" customHeight="1" x14ac:dyDescent="0.25">
      <c r="A430" s="93">
        <v>1294</v>
      </c>
      <c r="B430" s="90" t="s">
        <v>730</v>
      </c>
      <c r="C430" s="93">
        <v>2014</v>
      </c>
      <c r="D430" s="121" t="s">
        <v>29</v>
      </c>
      <c r="E430" s="90">
        <v>2015</v>
      </c>
      <c r="F430" s="90" t="s">
        <v>456</v>
      </c>
      <c r="G430" s="79">
        <v>3998</v>
      </c>
      <c r="H430" s="80" t="s">
        <v>231</v>
      </c>
      <c r="I430" s="91" t="s">
        <v>27</v>
      </c>
      <c r="J430" s="87">
        <v>328</v>
      </c>
      <c r="K430" s="87">
        <v>1781</v>
      </c>
      <c r="L430" s="87">
        <v>188.36</v>
      </c>
      <c r="M430" s="82"/>
      <c r="N430" s="125">
        <f>G430*L430</f>
        <v>753063.28</v>
      </c>
      <c r="O430" s="84">
        <v>42228</v>
      </c>
      <c r="P430" s="25"/>
    </row>
    <row r="431" spans="1:39" s="26" customFormat="1" ht="63.6" customHeight="1" x14ac:dyDescent="0.25">
      <c r="A431" s="93">
        <v>1295</v>
      </c>
      <c r="B431" s="90" t="s">
        <v>731</v>
      </c>
      <c r="C431" s="93">
        <v>2008</v>
      </c>
      <c r="D431" s="121" t="s">
        <v>29</v>
      </c>
      <c r="E431" s="90">
        <v>2015</v>
      </c>
      <c r="F431" s="90" t="s">
        <v>456</v>
      </c>
      <c r="G431" s="79">
        <v>3998</v>
      </c>
      <c r="H431" s="80" t="s">
        <v>231</v>
      </c>
      <c r="I431" s="91" t="s">
        <v>27</v>
      </c>
      <c r="J431" s="87">
        <v>329</v>
      </c>
      <c r="K431" s="87">
        <v>1782</v>
      </c>
      <c r="L431" s="87">
        <v>188.36</v>
      </c>
      <c r="M431" s="82"/>
      <c r="N431" s="125">
        <f>G431*L431</f>
        <v>753063.28</v>
      </c>
      <c r="O431" s="84">
        <v>42228</v>
      </c>
      <c r="P431" s="25"/>
    </row>
    <row r="432" spans="1:39" s="26" customFormat="1" ht="49.95" customHeight="1" x14ac:dyDescent="0.25">
      <c r="A432" s="93">
        <v>1296</v>
      </c>
      <c r="B432" s="90" t="s">
        <v>732</v>
      </c>
      <c r="C432" s="93">
        <v>2013</v>
      </c>
      <c r="D432" s="121" t="s">
        <v>29</v>
      </c>
      <c r="E432" s="90">
        <v>2015</v>
      </c>
      <c r="F432" s="90" t="s">
        <v>332</v>
      </c>
      <c r="G432" s="79">
        <f>N432/L432</f>
        <v>1900.147458078254</v>
      </c>
      <c r="H432" s="80" t="s">
        <v>733</v>
      </c>
      <c r="I432" s="91" t="s">
        <v>27</v>
      </c>
      <c r="J432" s="87">
        <v>330</v>
      </c>
      <c r="K432" s="87">
        <v>1783</v>
      </c>
      <c r="L432" s="87">
        <v>187.85</v>
      </c>
      <c r="M432" s="82">
        <v>2.9378000000000002</v>
      </c>
      <c r="N432" s="125">
        <f>121500*M432</f>
        <v>356942.7</v>
      </c>
      <c r="O432" s="84">
        <v>42228</v>
      </c>
      <c r="P432" s="25"/>
    </row>
    <row r="433" spans="1:16" s="26" customFormat="1" ht="40.950000000000003" customHeight="1" x14ac:dyDescent="0.25">
      <c r="A433" s="93">
        <v>1297</v>
      </c>
      <c r="B433" s="90" t="s">
        <v>734</v>
      </c>
      <c r="C433" s="93">
        <v>2011</v>
      </c>
      <c r="D433" s="121" t="s">
        <v>29</v>
      </c>
      <c r="E433" s="90">
        <v>2015</v>
      </c>
      <c r="F433" s="90" t="s">
        <v>334</v>
      </c>
      <c r="G433" s="79">
        <f>N433/L433</f>
        <v>2382.1762470055896</v>
      </c>
      <c r="H433" s="80" t="s">
        <v>735</v>
      </c>
      <c r="I433" s="91" t="s">
        <v>27</v>
      </c>
      <c r="J433" s="87">
        <v>331</v>
      </c>
      <c r="K433" s="87">
        <v>1784</v>
      </c>
      <c r="L433" s="87">
        <v>187.85</v>
      </c>
      <c r="M433" s="82">
        <v>2.9447999999999999</v>
      </c>
      <c r="N433" s="125">
        <f>151960*M433</f>
        <v>447491.80799999996</v>
      </c>
      <c r="O433" s="84">
        <v>42228</v>
      </c>
      <c r="P433" s="25"/>
    </row>
    <row r="434" spans="1:16" s="26" customFormat="1" ht="141" customHeight="1" x14ac:dyDescent="0.25">
      <c r="A434" s="93"/>
      <c r="B434" s="90" t="s">
        <v>53</v>
      </c>
      <c r="C434" s="93">
        <v>2011</v>
      </c>
      <c r="D434" s="113" t="s">
        <v>527</v>
      </c>
      <c r="E434" s="90" t="s">
        <v>197</v>
      </c>
      <c r="F434" s="78" t="s">
        <v>102</v>
      </c>
      <c r="G434" s="79">
        <v>2000</v>
      </c>
      <c r="H434" s="80" t="s">
        <v>79</v>
      </c>
      <c r="I434" s="91" t="s">
        <v>132</v>
      </c>
      <c r="J434" s="87"/>
      <c r="K434" s="87"/>
      <c r="L434" s="87">
        <v>183.78</v>
      </c>
      <c r="M434" s="82"/>
      <c r="N434" s="125">
        <f>G434*L434</f>
        <v>367560</v>
      </c>
      <c r="O434" s="84">
        <v>42228</v>
      </c>
      <c r="P434" s="25"/>
    </row>
    <row r="435" spans="1:16" s="26" customFormat="1" ht="38.4" customHeight="1" x14ac:dyDescent="0.25">
      <c r="A435" s="93">
        <v>1298</v>
      </c>
      <c r="B435" s="90" t="s">
        <v>736</v>
      </c>
      <c r="C435" s="93">
        <v>2012</v>
      </c>
      <c r="D435" s="121" t="s">
        <v>29</v>
      </c>
      <c r="E435" s="90">
        <v>2015</v>
      </c>
      <c r="F435" s="90" t="s">
        <v>530</v>
      </c>
      <c r="G435" s="79">
        <f>N435/L435</f>
        <v>1582.6776683524088</v>
      </c>
      <c r="H435" s="80" t="s">
        <v>1072</v>
      </c>
      <c r="I435" s="91" t="s">
        <v>27</v>
      </c>
      <c r="J435" s="87">
        <v>332</v>
      </c>
      <c r="K435" s="87">
        <v>1785</v>
      </c>
      <c r="L435" s="87">
        <v>187.85</v>
      </c>
      <c r="M435" s="82"/>
      <c r="N435" s="125">
        <v>297306</v>
      </c>
      <c r="O435" s="84">
        <v>42228</v>
      </c>
      <c r="P435" s="25"/>
    </row>
    <row r="436" spans="1:16" s="26" customFormat="1" ht="127.2" customHeight="1" x14ac:dyDescent="0.25">
      <c r="A436" s="93"/>
      <c r="B436" s="90" t="s">
        <v>33</v>
      </c>
      <c r="C436" s="93">
        <v>2007</v>
      </c>
      <c r="D436" s="113" t="s">
        <v>727</v>
      </c>
      <c r="E436" s="90" t="s">
        <v>197</v>
      </c>
      <c r="F436" s="78" t="s">
        <v>102</v>
      </c>
      <c r="G436" s="79">
        <v>3800</v>
      </c>
      <c r="H436" s="80" t="s">
        <v>41</v>
      </c>
      <c r="I436" s="91" t="s">
        <v>751</v>
      </c>
      <c r="J436" s="87"/>
      <c r="K436" s="87"/>
      <c r="L436" s="87">
        <v>183.78</v>
      </c>
      <c r="M436" s="82"/>
      <c r="N436" s="125">
        <f>G436*L436</f>
        <v>698364</v>
      </c>
      <c r="O436" s="84">
        <v>42230</v>
      </c>
      <c r="P436" s="25"/>
    </row>
    <row r="437" spans="1:16" s="26" customFormat="1" ht="49.2" customHeight="1" x14ac:dyDescent="0.25">
      <c r="A437" s="93">
        <v>1299</v>
      </c>
      <c r="B437" s="90" t="s">
        <v>737</v>
      </c>
      <c r="C437" s="93">
        <v>2012</v>
      </c>
      <c r="D437" s="121" t="s">
        <v>29</v>
      </c>
      <c r="E437" s="90">
        <v>2015</v>
      </c>
      <c r="F437" s="90" t="s">
        <v>329</v>
      </c>
      <c r="G437" s="79">
        <f>N437/L437</f>
        <v>2386.8517122378553</v>
      </c>
      <c r="H437" s="80" t="s">
        <v>738</v>
      </c>
      <c r="I437" s="91" t="s">
        <v>27</v>
      </c>
      <c r="J437" s="87">
        <v>333</v>
      </c>
      <c r="K437" s="87">
        <v>1786</v>
      </c>
      <c r="L437" s="87">
        <v>188.35</v>
      </c>
      <c r="M437" s="82">
        <v>3.0541</v>
      </c>
      <c r="N437" s="125">
        <f>147200*M437</f>
        <v>449563.52</v>
      </c>
      <c r="O437" s="84">
        <v>42235</v>
      </c>
      <c r="P437" s="25"/>
    </row>
    <row r="438" spans="1:16" s="26" customFormat="1" ht="45" customHeight="1" x14ac:dyDescent="0.25">
      <c r="A438" s="93">
        <v>1300</v>
      </c>
      <c r="B438" s="90" t="s">
        <v>739</v>
      </c>
      <c r="C438" s="93">
        <v>2010</v>
      </c>
      <c r="D438" s="121" t="s">
        <v>29</v>
      </c>
      <c r="E438" s="90">
        <v>2015</v>
      </c>
      <c r="F438" s="90" t="s">
        <v>329</v>
      </c>
      <c r="G438" s="79">
        <f>N438/L438</f>
        <v>2422.1281656490573</v>
      </c>
      <c r="H438" s="80" t="s">
        <v>740</v>
      </c>
      <c r="I438" s="91" t="s">
        <v>27</v>
      </c>
      <c r="J438" s="87">
        <v>334</v>
      </c>
      <c r="K438" s="87">
        <v>1787</v>
      </c>
      <c r="L438" s="87">
        <v>188.35</v>
      </c>
      <c r="M438" s="82">
        <v>3.0535999999999999</v>
      </c>
      <c r="N438" s="125">
        <f>149400*M438</f>
        <v>456207.83999999997</v>
      </c>
      <c r="O438" s="84">
        <v>42235</v>
      </c>
      <c r="P438" s="25"/>
    </row>
    <row r="439" spans="1:16" s="26" customFormat="1" ht="49.2" customHeight="1" x14ac:dyDescent="0.25">
      <c r="A439" s="93">
        <v>1301</v>
      </c>
      <c r="B439" s="90" t="s">
        <v>741</v>
      </c>
      <c r="C439" s="93">
        <v>2014</v>
      </c>
      <c r="D439" s="121" t="s">
        <v>29</v>
      </c>
      <c r="E439" s="90">
        <v>2015</v>
      </c>
      <c r="F439" s="90" t="s">
        <v>332</v>
      </c>
      <c r="G439" s="79">
        <f>N439/L439</f>
        <v>1075.6481550305284</v>
      </c>
      <c r="H439" s="80" t="s">
        <v>742</v>
      </c>
      <c r="I439" s="91" t="s">
        <v>27</v>
      </c>
      <c r="J439" s="87">
        <v>335</v>
      </c>
      <c r="K439" s="87">
        <v>1788</v>
      </c>
      <c r="L439" s="87">
        <v>188.35</v>
      </c>
      <c r="M439" s="82">
        <v>3.1217000000000001</v>
      </c>
      <c r="N439" s="125">
        <f>64900*M439</f>
        <v>202598.33000000002</v>
      </c>
      <c r="O439" s="84">
        <v>42235</v>
      </c>
      <c r="P439" s="25"/>
    </row>
    <row r="440" spans="1:16" s="26" customFormat="1" ht="96" customHeight="1" x14ac:dyDescent="0.25">
      <c r="A440" s="173"/>
      <c r="B440" s="175" t="s">
        <v>281</v>
      </c>
      <c r="C440" s="173">
        <v>2009</v>
      </c>
      <c r="D440" s="175" t="s">
        <v>28</v>
      </c>
      <c r="E440" s="175" t="s">
        <v>195</v>
      </c>
      <c r="F440" s="175" t="s">
        <v>102</v>
      </c>
      <c r="G440" s="79">
        <v>9000</v>
      </c>
      <c r="H440" s="80" t="s">
        <v>47</v>
      </c>
      <c r="I440" s="161" t="s">
        <v>1132</v>
      </c>
      <c r="J440" s="157">
        <v>336</v>
      </c>
      <c r="K440" s="157">
        <v>1789</v>
      </c>
      <c r="L440" s="87">
        <v>183.78</v>
      </c>
      <c r="M440" s="82"/>
      <c r="N440" s="125">
        <f>G440*L440</f>
        <v>1654020</v>
      </c>
      <c r="O440" s="84">
        <v>42240</v>
      </c>
      <c r="P440" s="25"/>
    </row>
    <row r="441" spans="1:16" s="26" customFormat="1" ht="33" customHeight="1" x14ac:dyDescent="0.25">
      <c r="A441" s="174"/>
      <c r="B441" s="176"/>
      <c r="C441" s="174"/>
      <c r="D441" s="178"/>
      <c r="E441" s="176"/>
      <c r="F441" s="178"/>
      <c r="G441" s="79">
        <v>3800</v>
      </c>
      <c r="H441" s="80" t="s">
        <v>41</v>
      </c>
      <c r="I441" s="162"/>
      <c r="J441" s="158"/>
      <c r="K441" s="158"/>
      <c r="L441" s="87">
        <v>183.78</v>
      </c>
      <c r="M441" s="82"/>
      <c r="N441" s="125">
        <f>G441*L441</f>
        <v>698364</v>
      </c>
      <c r="O441" s="84">
        <v>42243</v>
      </c>
      <c r="P441" s="25"/>
    </row>
    <row r="442" spans="1:16" s="26" customFormat="1" ht="44.4" customHeight="1" x14ac:dyDescent="0.25">
      <c r="A442" s="93">
        <v>1302</v>
      </c>
      <c r="B442" s="90" t="s">
        <v>743</v>
      </c>
      <c r="C442" s="93">
        <v>2014</v>
      </c>
      <c r="D442" s="121" t="s">
        <v>29</v>
      </c>
      <c r="E442" s="90">
        <v>2015</v>
      </c>
      <c r="F442" s="90" t="s">
        <v>469</v>
      </c>
      <c r="G442" s="79">
        <f>N442/L442</f>
        <v>3421.9511229056916</v>
      </c>
      <c r="H442" s="80" t="s">
        <v>354</v>
      </c>
      <c r="I442" s="91" t="s">
        <v>27</v>
      </c>
      <c r="J442" s="87">
        <v>337</v>
      </c>
      <c r="K442" s="87">
        <v>1790</v>
      </c>
      <c r="L442" s="87">
        <v>252.47</v>
      </c>
      <c r="M442" s="82">
        <v>37.4</v>
      </c>
      <c r="N442" s="125">
        <f>23100*M442</f>
        <v>863940</v>
      </c>
      <c r="O442" s="84">
        <v>42240</v>
      </c>
      <c r="P442" s="25"/>
    </row>
    <row r="443" spans="1:16" s="26" customFormat="1" ht="35.4" customHeight="1" x14ac:dyDescent="0.25">
      <c r="A443" s="93">
        <v>1303</v>
      </c>
      <c r="B443" s="90" t="s">
        <v>744</v>
      </c>
      <c r="C443" s="93">
        <v>2007</v>
      </c>
      <c r="D443" s="121" t="s">
        <v>29</v>
      </c>
      <c r="E443" s="90">
        <v>2015</v>
      </c>
      <c r="F443" s="78" t="s">
        <v>105</v>
      </c>
      <c r="G443" s="79">
        <f>N443/L443</f>
        <v>2178.77841818764</v>
      </c>
      <c r="H443" s="80" t="s">
        <v>745</v>
      </c>
      <c r="I443" s="91" t="s">
        <v>27</v>
      </c>
      <c r="J443" s="87">
        <v>338</v>
      </c>
      <c r="K443" s="87">
        <v>1791</v>
      </c>
      <c r="L443" s="87">
        <v>218.61</v>
      </c>
      <c r="M443" s="82">
        <v>3.4958</v>
      </c>
      <c r="N443" s="125">
        <f>136250*M443</f>
        <v>476302.75</v>
      </c>
      <c r="O443" s="84">
        <v>42241</v>
      </c>
      <c r="P443" s="25"/>
    </row>
    <row r="444" spans="1:16" s="26" customFormat="1" ht="48.6" customHeight="1" x14ac:dyDescent="0.25">
      <c r="A444" s="93">
        <v>1304</v>
      </c>
      <c r="B444" s="90" t="s">
        <v>746</v>
      </c>
      <c r="C444" s="93">
        <v>2014</v>
      </c>
      <c r="D444" s="121" t="s">
        <v>29</v>
      </c>
      <c r="E444" s="90">
        <v>2015</v>
      </c>
      <c r="F444" s="90" t="s">
        <v>457</v>
      </c>
      <c r="G444" s="79">
        <v>3998</v>
      </c>
      <c r="H444" s="80" t="s">
        <v>231</v>
      </c>
      <c r="I444" s="91" t="s">
        <v>27</v>
      </c>
      <c r="J444" s="87">
        <v>339</v>
      </c>
      <c r="K444" s="87">
        <v>1792</v>
      </c>
      <c r="L444" s="87">
        <v>240.65</v>
      </c>
      <c r="M444" s="82"/>
      <c r="N444" s="125">
        <f>G444*L444</f>
        <v>962118.70000000007</v>
      </c>
      <c r="O444" s="84">
        <v>42241</v>
      </c>
      <c r="P444" s="25"/>
    </row>
    <row r="445" spans="1:16" s="26" customFormat="1" ht="35.4" customHeight="1" x14ac:dyDescent="0.25">
      <c r="A445" s="93">
        <v>1305</v>
      </c>
      <c r="B445" s="90" t="s">
        <v>747</v>
      </c>
      <c r="C445" s="93">
        <v>2003</v>
      </c>
      <c r="D445" s="121" t="s">
        <v>29</v>
      </c>
      <c r="E445" s="90">
        <v>2015</v>
      </c>
      <c r="F445" s="90" t="s">
        <v>530</v>
      </c>
      <c r="G445" s="79">
        <f>N445/L445</f>
        <v>1381.8489547596175</v>
      </c>
      <c r="H445" s="80" t="s">
        <v>748</v>
      </c>
      <c r="I445" s="91" t="s">
        <v>27</v>
      </c>
      <c r="J445" s="87">
        <v>340</v>
      </c>
      <c r="K445" s="87">
        <v>1793</v>
      </c>
      <c r="L445" s="87">
        <v>218.61</v>
      </c>
      <c r="M445" s="82"/>
      <c r="N445" s="125">
        <v>302086</v>
      </c>
      <c r="O445" s="84">
        <v>42241</v>
      </c>
      <c r="P445" s="25"/>
    </row>
    <row r="446" spans="1:16" s="26" customFormat="1" ht="34.200000000000003" customHeight="1" x14ac:dyDescent="0.25">
      <c r="A446" s="93">
        <v>1306</v>
      </c>
      <c r="B446" s="90" t="s">
        <v>749</v>
      </c>
      <c r="C446" s="93">
        <v>2003</v>
      </c>
      <c r="D446" s="121" t="s">
        <v>29</v>
      </c>
      <c r="E446" s="90">
        <v>2015</v>
      </c>
      <c r="F446" s="90" t="s">
        <v>530</v>
      </c>
      <c r="G446" s="79">
        <f>N446/L446</f>
        <v>1432.3498467590687</v>
      </c>
      <c r="H446" s="80" t="s">
        <v>750</v>
      </c>
      <c r="I446" s="91" t="s">
        <v>27</v>
      </c>
      <c r="J446" s="87">
        <v>341</v>
      </c>
      <c r="K446" s="87">
        <v>1794</v>
      </c>
      <c r="L446" s="87">
        <v>218.61</v>
      </c>
      <c r="M446" s="82"/>
      <c r="N446" s="125">
        <v>313126</v>
      </c>
      <c r="O446" s="84">
        <v>42241</v>
      </c>
      <c r="P446" s="25"/>
    </row>
    <row r="447" spans="1:16" s="26" customFormat="1" ht="31.95" customHeight="1" x14ac:dyDescent="0.25">
      <c r="A447" s="93">
        <v>1307</v>
      </c>
      <c r="B447" s="90" t="s">
        <v>752</v>
      </c>
      <c r="C447" s="93">
        <v>2011</v>
      </c>
      <c r="D447" s="128" t="s">
        <v>753</v>
      </c>
      <c r="E447" s="90">
        <v>2015</v>
      </c>
      <c r="F447" s="90" t="s">
        <v>754</v>
      </c>
      <c r="G447" s="79">
        <f>N447/L447</f>
        <v>1565.9990196078431</v>
      </c>
      <c r="H447" s="80" t="s">
        <v>1026</v>
      </c>
      <c r="I447" s="91" t="s">
        <v>132</v>
      </c>
      <c r="J447" s="87">
        <v>342</v>
      </c>
      <c r="K447" s="87">
        <v>1795</v>
      </c>
      <c r="L447" s="87">
        <v>237.66</v>
      </c>
      <c r="M447" s="82">
        <v>3.8959000000000001</v>
      </c>
      <c r="N447" s="125">
        <f>95530*M447</f>
        <v>372175.32699999999</v>
      </c>
      <c r="O447" s="84">
        <v>42248</v>
      </c>
      <c r="P447" s="25"/>
    </row>
    <row r="448" spans="1:16" s="26" customFormat="1" ht="33.6" customHeight="1" x14ac:dyDescent="0.25">
      <c r="A448" s="93">
        <v>1308</v>
      </c>
      <c r="B448" s="90" t="s">
        <v>755</v>
      </c>
      <c r="C448" s="93">
        <v>2011</v>
      </c>
      <c r="D448" s="113" t="s">
        <v>756</v>
      </c>
      <c r="E448" s="90">
        <v>2015</v>
      </c>
      <c r="F448" s="90" t="s">
        <v>754</v>
      </c>
      <c r="G448" s="79">
        <f>N448/L448</f>
        <v>2097.9330722737723</v>
      </c>
      <c r="H448" s="80" t="s">
        <v>1025</v>
      </c>
      <c r="I448" s="91" t="s">
        <v>132</v>
      </c>
      <c r="J448" s="87">
        <v>343</v>
      </c>
      <c r="K448" s="87">
        <v>1796</v>
      </c>
      <c r="L448" s="87">
        <v>234.94</v>
      </c>
      <c r="M448" s="82">
        <v>3.6597</v>
      </c>
      <c r="N448" s="125">
        <f>134680*M448</f>
        <v>492888.39600000001</v>
      </c>
      <c r="O448" s="84">
        <v>42249</v>
      </c>
      <c r="P448" s="25"/>
    </row>
    <row r="449" spans="1:39" s="26" customFormat="1" ht="134.4" customHeight="1" x14ac:dyDescent="0.25">
      <c r="A449" s="173"/>
      <c r="B449" s="175" t="s">
        <v>33</v>
      </c>
      <c r="C449" s="173">
        <v>2007</v>
      </c>
      <c r="D449" s="177" t="s">
        <v>727</v>
      </c>
      <c r="E449" s="175" t="s">
        <v>197</v>
      </c>
      <c r="F449" s="175" t="s">
        <v>102</v>
      </c>
      <c r="G449" s="79">
        <v>9000</v>
      </c>
      <c r="H449" s="80" t="s">
        <v>47</v>
      </c>
      <c r="I449" s="161" t="s">
        <v>27</v>
      </c>
      <c r="J449" s="157"/>
      <c r="K449" s="157"/>
      <c r="L449" s="87">
        <v>241.95</v>
      </c>
      <c r="M449" s="82"/>
      <c r="N449" s="125">
        <f>G449*L449</f>
        <v>2177550</v>
      </c>
      <c r="O449" s="84">
        <v>42249</v>
      </c>
      <c r="P449" s="25"/>
    </row>
    <row r="450" spans="1:39" s="26" customFormat="1" ht="27.6" customHeight="1" x14ac:dyDescent="0.25">
      <c r="A450" s="174"/>
      <c r="B450" s="176"/>
      <c r="C450" s="174"/>
      <c r="D450" s="178"/>
      <c r="E450" s="176"/>
      <c r="F450" s="178"/>
      <c r="G450" s="79">
        <v>4593</v>
      </c>
      <c r="H450" s="80" t="s">
        <v>757</v>
      </c>
      <c r="I450" s="162"/>
      <c r="J450" s="158"/>
      <c r="K450" s="158"/>
      <c r="L450" s="87">
        <v>240.2</v>
      </c>
      <c r="M450" s="82"/>
      <c r="N450" s="125">
        <f>G450*L450</f>
        <v>1103238.5999999999</v>
      </c>
      <c r="O450" s="84">
        <v>42251</v>
      </c>
      <c r="P450" s="25"/>
    </row>
    <row r="451" spans="1:39" s="71" customFormat="1" ht="86.4" customHeight="1" x14ac:dyDescent="0.25">
      <c r="A451" s="93"/>
      <c r="B451" s="90" t="s">
        <v>511</v>
      </c>
      <c r="C451" s="93">
        <v>2013</v>
      </c>
      <c r="D451" s="113" t="s">
        <v>512</v>
      </c>
      <c r="E451" s="78" t="s">
        <v>197</v>
      </c>
      <c r="F451" s="90" t="s">
        <v>452</v>
      </c>
      <c r="G451" s="79">
        <f>N451/L451</f>
        <v>4870.8115084474121</v>
      </c>
      <c r="H451" s="80" t="s">
        <v>1088</v>
      </c>
      <c r="I451" s="91" t="s">
        <v>132</v>
      </c>
      <c r="J451" s="87"/>
      <c r="K451" s="87"/>
      <c r="L451" s="87">
        <v>239.6</v>
      </c>
      <c r="M451" s="82">
        <v>3.6568000000000001</v>
      </c>
      <c r="N451" s="125">
        <f>319144.18*M451</f>
        <v>1167046.4374239999</v>
      </c>
      <c r="O451" s="84">
        <v>42254</v>
      </c>
      <c r="P451" s="25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</row>
    <row r="452" spans="1:39" s="71" customFormat="1" ht="36.6" customHeight="1" x14ac:dyDescent="0.25">
      <c r="A452" s="93"/>
      <c r="B452" s="90" t="s">
        <v>126</v>
      </c>
      <c r="C452" s="93">
        <v>2010</v>
      </c>
      <c r="D452" s="113" t="s">
        <v>29</v>
      </c>
      <c r="E452" s="90" t="s">
        <v>181</v>
      </c>
      <c r="F452" s="90" t="s">
        <v>530</v>
      </c>
      <c r="G452" s="79">
        <f>N452/L452</f>
        <v>1243.2095158597663</v>
      </c>
      <c r="H452" s="80" t="s">
        <v>1117</v>
      </c>
      <c r="I452" s="91" t="s">
        <v>27</v>
      </c>
      <c r="J452" s="87">
        <v>344</v>
      </c>
      <c r="K452" s="87">
        <v>1797</v>
      </c>
      <c r="L452" s="87">
        <v>239.6</v>
      </c>
      <c r="M452" s="82"/>
      <c r="N452" s="125">
        <v>297873</v>
      </c>
      <c r="O452" s="84">
        <v>42254</v>
      </c>
      <c r="P452" s="25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</row>
    <row r="453" spans="1:39" s="26" customFormat="1" ht="78" customHeight="1" x14ac:dyDescent="0.25">
      <c r="A453" s="93">
        <v>1309</v>
      </c>
      <c r="B453" s="90" t="s">
        <v>758</v>
      </c>
      <c r="C453" s="93">
        <v>2004</v>
      </c>
      <c r="D453" s="113" t="s">
        <v>759</v>
      </c>
      <c r="E453" s="90">
        <v>2015</v>
      </c>
      <c r="F453" s="90" t="s">
        <v>253</v>
      </c>
      <c r="G453" s="79">
        <f>N453/L453</f>
        <v>416.99655833299352</v>
      </c>
      <c r="H453" s="80" t="s">
        <v>995</v>
      </c>
      <c r="I453" s="91" t="s">
        <v>132</v>
      </c>
      <c r="J453" s="87">
        <v>345</v>
      </c>
      <c r="K453" s="87">
        <v>1798</v>
      </c>
      <c r="L453" s="87">
        <v>245.23</v>
      </c>
      <c r="M453" s="82">
        <v>3.8313999999999999</v>
      </c>
      <c r="N453" s="125">
        <f>26690*M453</f>
        <v>102260.06599999999</v>
      </c>
      <c r="O453" s="84">
        <v>42257</v>
      </c>
      <c r="P453" s="25"/>
    </row>
    <row r="454" spans="1:39" s="71" customFormat="1" ht="86.4" customHeight="1" x14ac:dyDescent="0.25">
      <c r="A454" s="93">
        <v>1310</v>
      </c>
      <c r="B454" s="90" t="s">
        <v>760</v>
      </c>
      <c r="C454" s="93">
        <v>2015</v>
      </c>
      <c r="D454" s="113" t="s">
        <v>761</v>
      </c>
      <c r="E454" s="90">
        <v>2015</v>
      </c>
      <c r="F454" s="90" t="s">
        <v>762</v>
      </c>
      <c r="G454" s="79">
        <f>N454/L454</f>
        <v>2137.2143051421117</v>
      </c>
      <c r="H454" s="80" t="s">
        <v>1093</v>
      </c>
      <c r="I454" s="91" t="s">
        <v>132</v>
      </c>
      <c r="J454" s="87">
        <v>346</v>
      </c>
      <c r="K454" s="87">
        <v>1799</v>
      </c>
      <c r="L454" s="87">
        <v>245.23</v>
      </c>
      <c r="M454" s="82">
        <v>3.7465999999999999</v>
      </c>
      <c r="N454" s="125">
        <f>139889.25*M454</f>
        <v>524109.06404999999</v>
      </c>
      <c r="O454" s="84">
        <v>42257</v>
      </c>
      <c r="P454" s="25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</row>
    <row r="455" spans="1:39" s="26" customFormat="1" ht="73.95" customHeight="1" x14ac:dyDescent="0.25">
      <c r="A455" s="93"/>
      <c r="B455" s="90" t="s">
        <v>718</v>
      </c>
      <c r="C455" s="93">
        <v>2012</v>
      </c>
      <c r="D455" s="113" t="s">
        <v>719</v>
      </c>
      <c r="E455" s="78" t="s">
        <v>197</v>
      </c>
      <c r="F455" s="78" t="s">
        <v>102</v>
      </c>
      <c r="G455" s="79">
        <v>4000</v>
      </c>
      <c r="H455" s="80" t="s">
        <v>95</v>
      </c>
      <c r="I455" s="91" t="s">
        <v>132</v>
      </c>
      <c r="J455" s="87"/>
      <c r="K455" s="87"/>
      <c r="L455" s="87">
        <v>183.78</v>
      </c>
      <c r="M455" s="82"/>
      <c r="N455" s="125">
        <f>G455*L455</f>
        <v>735120</v>
      </c>
      <c r="O455" s="84">
        <v>42257</v>
      </c>
      <c r="P455" s="25"/>
    </row>
    <row r="456" spans="1:39" s="26" customFormat="1" ht="62.4" customHeight="1" x14ac:dyDescent="0.25">
      <c r="A456" s="93">
        <v>1311</v>
      </c>
      <c r="B456" s="90" t="s">
        <v>763</v>
      </c>
      <c r="C456" s="93">
        <v>2014</v>
      </c>
      <c r="D456" s="121" t="s">
        <v>29</v>
      </c>
      <c r="E456" s="90">
        <v>2015</v>
      </c>
      <c r="F456" s="90" t="s">
        <v>373</v>
      </c>
      <c r="G456" s="79">
        <f>N456/L456</f>
        <v>3154.2225296442689</v>
      </c>
      <c r="H456" s="80" t="s">
        <v>764</v>
      </c>
      <c r="I456" s="91" t="s">
        <v>132</v>
      </c>
      <c r="J456" s="87">
        <v>347</v>
      </c>
      <c r="K456" s="87">
        <v>1800</v>
      </c>
      <c r="L456" s="87">
        <v>253</v>
      </c>
      <c r="M456" s="82">
        <v>243.15</v>
      </c>
      <c r="N456" s="125">
        <f>3282*M456</f>
        <v>798018.3</v>
      </c>
      <c r="O456" s="84">
        <v>42258</v>
      </c>
      <c r="P456" s="25"/>
    </row>
    <row r="457" spans="1:39" s="26" customFormat="1" ht="57" customHeight="1" x14ac:dyDescent="0.25">
      <c r="A457" s="93">
        <v>1312</v>
      </c>
      <c r="B457" s="90" t="s">
        <v>765</v>
      </c>
      <c r="C457" s="93">
        <v>2012</v>
      </c>
      <c r="D457" s="121" t="s">
        <v>29</v>
      </c>
      <c r="E457" s="90">
        <v>2015</v>
      </c>
      <c r="F457" s="90" t="s">
        <v>373</v>
      </c>
      <c r="G457" s="79">
        <f>N457/L457</f>
        <v>2852.4474308300396</v>
      </c>
      <c r="H457" s="80" t="s">
        <v>766</v>
      </c>
      <c r="I457" s="91" t="s">
        <v>132</v>
      </c>
      <c r="J457" s="87">
        <v>348</v>
      </c>
      <c r="K457" s="87">
        <v>1801</v>
      </c>
      <c r="L457" s="87">
        <v>253</v>
      </c>
      <c r="M457" s="82">
        <v>243.15</v>
      </c>
      <c r="N457" s="125">
        <f>2968*M457</f>
        <v>721669.20000000007</v>
      </c>
      <c r="O457" s="84">
        <v>42258</v>
      </c>
      <c r="P457" s="25"/>
    </row>
    <row r="458" spans="1:39" s="26" customFormat="1" ht="46.2" customHeight="1" x14ac:dyDescent="0.25">
      <c r="A458" s="93">
        <v>1313</v>
      </c>
      <c r="B458" s="90" t="s">
        <v>767</v>
      </c>
      <c r="C458" s="93">
        <v>2012</v>
      </c>
      <c r="D458" s="121" t="s">
        <v>29</v>
      </c>
      <c r="E458" s="90">
        <v>2015</v>
      </c>
      <c r="F458" s="90" t="s">
        <v>457</v>
      </c>
      <c r="G458" s="79">
        <v>3998</v>
      </c>
      <c r="H458" s="80" t="s">
        <v>231</v>
      </c>
      <c r="I458" s="91" t="s">
        <v>132</v>
      </c>
      <c r="J458" s="87">
        <v>349</v>
      </c>
      <c r="K458" s="87">
        <v>1802</v>
      </c>
      <c r="L458" s="87">
        <v>183.78</v>
      </c>
      <c r="M458" s="82"/>
      <c r="N458" s="125">
        <f>G458*L458</f>
        <v>734752.44000000006</v>
      </c>
      <c r="O458" s="84">
        <v>42258</v>
      </c>
      <c r="P458" s="25"/>
    </row>
    <row r="459" spans="1:39" s="26" customFormat="1" ht="36" customHeight="1" x14ac:dyDescent="0.25">
      <c r="A459" s="93">
        <v>1314</v>
      </c>
      <c r="B459" s="90" t="s">
        <v>768</v>
      </c>
      <c r="C459" s="93">
        <v>2013</v>
      </c>
      <c r="D459" s="121" t="s">
        <v>29</v>
      </c>
      <c r="E459" s="90">
        <v>2015</v>
      </c>
      <c r="F459" s="78" t="s">
        <v>105</v>
      </c>
      <c r="G459" s="79">
        <f t="shared" ref="G459:G465" si="28">N459/L459</f>
        <v>1925.1618379446641</v>
      </c>
      <c r="H459" s="80" t="s">
        <v>769</v>
      </c>
      <c r="I459" s="91" t="s">
        <v>27</v>
      </c>
      <c r="J459" s="87">
        <v>350</v>
      </c>
      <c r="K459" s="87">
        <v>1803</v>
      </c>
      <c r="L459" s="87">
        <v>253</v>
      </c>
      <c r="M459" s="82">
        <v>3.8397000000000001</v>
      </c>
      <c r="N459" s="125">
        <f>126850*M459</f>
        <v>487065.94500000001</v>
      </c>
      <c r="O459" s="84">
        <v>42258</v>
      </c>
      <c r="P459" s="25"/>
    </row>
    <row r="460" spans="1:39" s="26" customFormat="1" ht="37.200000000000003" customHeight="1" x14ac:dyDescent="0.25">
      <c r="A460" s="93">
        <v>1315</v>
      </c>
      <c r="B460" s="90" t="s">
        <v>770</v>
      </c>
      <c r="C460" s="93">
        <v>2014</v>
      </c>
      <c r="D460" s="121" t="s">
        <v>29</v>
      </c>
      <c r="E460" s="90">
        <v>2015</v>
      </c>
      <c r="F460" s="78" t="s">
        <v>105</v>
      </c>
      <c r="G460" s="79">
        <f t="shared" si="28"/>
        <v>2022.5032608695653</v>
      </c>
      <c r="H460" s="80" t="s">
        <v>771</v>
      </c>
      <c r="I460" s="91" t="s">
        <v>27</v>
      </c>
      <c r="J460" s="87">
        <v>351</v>
      </c>
      <c r="K460" s="87">
        <v>1804</v>
      </c>
      <c r="L460" s="87">
        <v>253</v>
      </c>
      <c r="M460" s="82">
        <v>3.8401000000000001</v>
      </c>
      <c r="N460" s="125">
        <f>133250*M460</f>
        <v>511693.32500000001</v>
      </c>
      <c r="O460" s="84">
        <v>42258</v>
      </c>
      <c r="P460" s="25"/>
    </row>
    <row r="461" spans="1:39" s="26" customFormat="1" ht="45" customHeight="1" x14ac:dyDescent="0.25">
      <c r="A461" s="93">
        <v>1316</v>
      </c>
      <c r="B461" s="90" t="s">
        <v>772</v>
      </c>
      <c r="C461" s="93">
        <v>2013</v>
      </c>
      <c r="D461" s="121" t="s">
        <v>29</v>
      </c>
      <c r="E461" s="90">
        <v>2015</v>
      </c>
      <c r="F461" s="90" t="s">
        <v>329</v>
      </c>
      <c r="G461" s="79">
        <f t="shared" si="28"/>
        <v>1729.3140316205531</v>
      </c>
      <c r="H461" s="80" t="s">
        <v>773</v>
      </c>
      <c r="I461" s="91" t="s">
        <v>27</v>
      </c>
      <c r="J461" s="87">
        <v>352</v>
      </c>
      <c r="K461" s="87">
        <v>1805</v>
      </c>
      <c r="L461" s="87">
        <v>253</v>
      </c>
      <c r="M461" s="82">
        <v>3.8344999999999998</v>
      </c>
      <c r="N461" s="125">
        <f>114100*M461</f>
        <v>437516.44999999995</v>
      </c>
      <c r="O461" s="84">
        <v>42258</v>
      </c>
      <c r="P461" s="25"/>
    </row>
    <row r="462" spans="1:39" s="26" customFormat="1" ht="46.2" customHeight="1" x14ac:dyDescent="0.25">
      <c r="A462" s="93">
        <v>1317</v>
      </c>
      <c r="B462" s="90" t="s">
        <v>774</v>
      </c>
      <c r="C462" s="93">
        <v>2007</v>
      </c>
      <c r="D462" s="121" t="s">
        <v>29</v>
      </c>
      <c r="E462" s="90">
        <v>2015</v>
      </c>
      <c r="F462" s="90" t="s">
        <v>329</v>
      </c>
      <c r="G462" s="79">
        <f t="shared" si="28"/>
        <v>1909.5496837944663</v>
      </c>
      <c r="H462" s="80" t="s">
        <v>1011</v>
      </c>
      <c r="I462" s="91" t="s">
        <v>27</v>
      </c>
      <c r="J462" s="87">
        <v>353</v>
      </c>
      <c r="K462" s="87">
        <v>1806</v>
      </c>
      <c r="L462" s="87">
        <v>253</v>
      </c>
      <c r="M462" s="82">
        <v>3.8372999999999999</v>
      </c>
      <c r="N462" s="125">
        <f>125900*M462</f>
        <v>483116.07</v>
      </c>
      <c r="O462" s="84">
        <v>42258</v>
      </c>
      <c r="P462" s="25"/>
    </row>
    <row r="463" spans="1:39" s="26" customFormat="1" ht="46.2" customHeight="1" x14ac:dyDescent="0.25">
      <c r="A463" s="93">
        <v>1318</v>
      </c>
      <c r="B463" s="90" t="s">
        <v>775</v>
      </c>
      <c r="C463" s="93">
        <v>2007</v>
      </c>
      <c r="D463" s="121" t="s">
        <v>29</v>
      </c>
      <c r="E463" s="90">
        <v>2015</v>
      </c>
      <c r="F463" s="90" t="s">
        <v>329</v>
      </c>
      <c r="G463" s="79">
        <f t="shared" si="28"/>
        <v>2354.9549407114623</v>
      </c>
      <c r="H463" s="80" t="s">
        <v>776</v>
      </c>
      <c r="I463" s="91" t="s">
        <v>27</v>
      </c>
      <c r="J463" s="87">
        <v>354</v>
      </c>
      <c r="K463" s="87">
        <v>1807</v>
      </c>
      <c r="L463" s="87">
        <v>253</v>
      </c>
      <c r="M463" s="82">
        <v>3.8340000000000001</v>
      </c>
      <c r="N463" s="125">
        <f>155400*M463</f>
        <v>595803.6</v>
      </c>
      <c r="O463" s="84">
        <v>42258</v>
      </c>
      <c r="P463" s="25"/>
    </row>
    <row r="464" spans="1:39" s="26" customFormat="1" ht="45.6" customHeight="1" x14ac:dyDescent="0.25">
      <c r="A464" s="93">
        <v>1319</v>
      </c>
      <c r="B464" s="90" t="s">
        <v>777</v>
      </c>
      <c r="C464" s="93">
        <v>2006</v>
      </c>
      <c r="D464" s="121" t="s">
        <v>29</v>
      </c>
      <c r="E464" s="90">
        <v>2015</v>
      </c>
      <c r="F464" s="90" t="s">
        <v>332</v>
      </c>
      <c r="G464" s="79">
        <f t="shared" si="28"/>
        <v>2376.9144664031619</v>
      </c>
      <c r="H464" s="80" t="s">
        <v>778</v>
      </c>
      <c r="I464" s="91" t="s">
        <v>27</v>
      </c>
      <c r="J464" s="87">
        <v>355</v>
      </c>
      <c r="K464" s="87">
        <v>1808</v>
      </c>
      <c r="L464" s="87">
        <v>253</v>
      </c>
      <c r="M464" s="82">
        <v>3.8351999999999999</v>
      </c>
      <c r="N464" s="125">
        <f>156800*M464</f>
        <v>601359.35999999999</v>
      </c>
      <c r="O464" s="84">
        <v>42258</v>
      </c>
      <c r="P464" s="25"/>
    </row>
    <row r="465" spans="1:39" s="26" customFormat="1" ht="46.95" customHeight="1" x14ac:dyDescent="0.25">
      <c r="A465" s="93">
        <v>1320</v>
      </c>
      <c r="B465" s="90" t="s">
        <v>779</v>
      </c>
      <c r="C465" s="93">
        <v>2012</v>
      </c>
      <c r="D465" s="121" t="s">
        <v>29</v>
      </c>
      <c r="E465" s="90">
        <v>2015</v>
      </c>
      <c r="F465" s="90" t="s">
        <v>332</v>
      </c>
      <c r="G465" s="79">
        <f t="shared" si="28"/>
        <v>2671.0666403162054</v>
      </c>
      <c r="H465" s="80" t="s">
        <v>780</v>
      </c>
      <c r="I465" s="91" t="s">
        <v>27</v>
      </c>
      <c r="J465" s="87">
        <v>356</v>
      </c>
      <c r="K465" s="87">
        <v>1809</v>
      </c>
      <c r="L465" s="87">
        <v>253</v>
      </c>
      <c r="M465" s="82">
        <v>3.8353000000000002</v>
      </c>
      <c r="N465" s="125">
        <f>176200*M465</f>
        <v>675779.86</v>
      </c>
      <c r="O465" s="84">
        <v>42258</v>
      </c>
      <c r="P465" s="25"/>
    </row>
    <row r="466" spans="1:39" s="26" customFormat="1" ht="33.6" customHeight="1" x14ac:dyDescent="0.25">
      <c r="A466" s="93">
        <v>1321</v>
      </c>
      <c r="B466" s="90" t="s">
        <v>781</v>
      </c>
      <c r="C466" s="93">
        <v>2008</v>
      </c>
      <c r="D466" s="121" t="s">
        <v>29</v>
      </c>
      <c r="E466" s="90">
        <v>2015</v>
      </c>
      <c r="F466" s="90" t="s">
        <v>530</v>
      </c>
      <c r="G466" s="79">
        <f>N466/L466</f>
        <v>1189.6561264822135</v>
      </c>
      <c r="H466" s="80" t="s">
        <v>1070</v>
      </c>
      <c r="I466" s="91" t="s">
        <v>132</v>
      </c>
      <c r="J466" s="87">
        <v>357</v>
      </c>
      <c r="K466" s="87">
        <v>1810</v>
      </c>
      <c r="L466" s="87">
        <v>253</v>
      </c>
      <c r="M466" s="82"/>
      <c r="N466" s="125">
        <v>300983</v>
      </c>
      <c r="O466" s="84">
        <v>42258</v>
      </c>
      <c r="P466" s="25"/>
    </row>
    <row r="467" spans="1:39" s="26" customFormat="1" ht="47.4" customHeight="1" x14ac:dyDescent="0.25">
      <c r="A467" s="93">
        <v>1322</v>
      </c>
      <c r="B467" s="90" t="s">
        <v>782</v>
      </c>
      <c r="C467" s="93">
        <v>2008</v>
      </c>
      <c r="D467" s="121" t="s">
        <v>29</v>
      </c>
      <c r="E467" s="90">
        <v>2015</v>
      </c>
      <c r="F467" s="90" t="s">
        <v>457</v>
      </c>
      <c r="G467" s="79">
        <v>3998</v>
      </c>
      <c r="H467" s="80" t="s">
        <v>231</v>
      </c>
      <c r="I467" s="91" t="s">
        <v>27</v>
      </c>
      <c r="J467" s="87">
        <v>358</v>
      </c>
      <c r="K467" s="87">
        <v>1811</v>
      </c>
      <c r="L467" s="87">
        <v>296</v>
      </c>
      <c r="M467" s="82"/>
      <c r="N467" s="125">
        <f t="shared" ref="N467:N472" si="29">G467*L467</f>
        <v>1183408</v>
      </c>
      <c r="O467" s="84">
        <v>42263</v>
      </c>
      <c r="P467" s="25"/>
    </row>
    <row r="468" spans="1:39" s="26" customFormat="1" ht="58.2" customHeight="1" x14ac:dyDescent="0.25">
      <c r="A468" s="93">
        <v>1323</v>
      </c>
      <c r="B468" s="90" t="s">
        <v>783</v>
      </c>
      <c r="C468" s="93">
        <v>2014</v>
      </c>
      <c r="D468" s="113" t="s">
        <v>784</v>
      </c>
      <c r="E468" s="90">
        <v>2015</v>
      </c>
      <c r="F468" s="78" t="s">
        <v>437</v>
      </c>
      <c r="G468" s="79">
        <v>5700</v>
      </c>
      <c r="H468" s="80" t="s">
        <v>785</v>
      </c>
      <c r="I468" s="91" t="s">
        <v>132</v>
      </c>
      <c r="J468" s="87">
        <v>359</v>
      </c>
      <c r="K468" s="87">
        <v>1812</v>
      </c>
      <c r="L468" s="87">
        <v>296</v>
      </c>
      <c r="M468" s="82"/>
      <c r="N468" s="125">
        <f t="shared" si="29"/>
        <v>1687200</v>
      </c>
      <c r="O468" s="84">
        <v>42263</v>
      </c>
      <c r="P468" s="25"/>
    </row>
    <row r="469" spans="1:39" s="24" customFormat="1" ht="44.4" customHeight="1" x14ac:dyDescent="0.25">
      <c r="A469" s="77">
        <v>1324</v>
      </c>
      <c r="B469" s="78" t="s">
        <v>1123</v>
      </c>
      <c r="C469" s="77">
        <v>2006</v>
      </c>
      <c r="D469" s="113" t="s">
        <v>29</v>
      </c>
      <c r="E469" s="78">
        <v>2015</v>
      </c>
      <c r="F469" s="78" t="s">
        <v>352</v>
      </c>
      <c r="G469" s="79">
        <v>3831</v>
      </c>
      <c r="H469" s="80" t="s">
        <v>409</v>
      </c>
      <c r="I469" s="91" t="s">
        <v>27</v>
      </c>
      <c r="J469" s="87">
        <v>360</v>
      </c>
      <c r="K469" s="87">
        <v>1813</v>
      </c>
      <c r="L469" s="87">
        <v>293.29000000000002</v>
      </c>
      <c r="M469" s="82"/>
      <c r="N469" s="125">
        <f t="shared" si="29"/>
        <v>1123593.99</v>
      </c>
      <c r="O469" s="84">
        <v>42268</v>
      </c>
      <c r="P469" s="25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</row>
    <row r="470" spans="1:39" s="24" customFormat="1" ht="45.6" customHeight="1" x14ac:dyDescent="0.25">
      <c r="A470" s="102"/>
      <c r="B470" s="103" t="s">
        <v>26</v>
      </c>
      <c r="C470" s="102">
        <v>2011</v>
      </c>
      <c r="D470" s="129" t="s">
        <v>29</v>
      </c>
      <c r="E470" s="103">
        <v>2015</v>
      </c>
      <c r="F470" s="78" t="s">
        <v>352</v>
      </c>
      <c r="G470" s="79">
        <v>3968</v>
      </c>
      <c r="H470" s="80" t="s">
        <v>1124</v>
      </c>
      <c r="I470" s="91" t="s">
        <v>27</v>
      </c>
      <c r="J470" s="87">
        <v>361</v>
      </c>
      <c r="K470" s="87">
        <v>1814</v>
      </c>
      <c r="L470" s="87">
        <v>293.29000000000002</v>
      </c>
      <c r="M470" s="82"/>
      <c r="N470" s="125">
        <f t="shared" si="29"/>
        <v>1163774.72</v>
      </c>
      <c r="O470" s="84">
        <v>42265</v>
      </c>
      <c r="P470" s="25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</row>
    <row r="471" spans="1:39" s="26" customFormat="1" ht="40.200000000000003" customHeight="1" x14ac:dyDescent="0.25">
      <c r="A471" s="173"/>
      <c r="B471" s="175" t="s">
        <v>281</v>
      </c>
      <c r="C471" s="173">
        <v>2009</v>
      </c>
      <c r="D471" s="175" t="s">
        <v>28</v>
      </c>
      <c r="E471" s="175" t="s">
        <v>197</v>
      </c>
      <c r="F471" s="175" t="s">
        <v>102</v>
      </c>
      <c r="G471" s="79">
        <v>9000</v>
      </c>
      <c r="H471" s="80" t="s">
        <v>47</v>
      </c>
      <c r="I471" s="91" t="s">
        <v>27</v>
      </c>
      <c r="J471" s="87"/>
      <c r="K471" s="87"/>
      <c r="L471" s="87">
        <v>293.29000000000002</v>
      </c>
      <c r="M471" s="82"/>
      <c r="N471" s="125">
        <f t="shared" si="29"/>
        <v>2639610</v>
      </c>
      <c r="O471" s="84">
        <v>42263</v>
      </c>
      <c r="P471" s="25"/>
    </row>
    <row r="472" spans="1:39" s="26" customFormat="1" ht="114.6" customHeight="1" x14ac:dyDescent="0.25">
      <c r="A472" s="174"/>
      <c r="B472" s="176"/>
      <c r="C472" s="174"/>
      <c r="D472" s="178"/>
      <c r="E472" s="178"/>
      <c r="F472" s="178"/>
      <c r="G472" s="79">
        <v>7643</v>
      </c>
      <c r="H472" s="80" t="s">
        <v>1057</v>
      </c>
      <c r="I472" s="85" t="s">
        <v>1133</v>
      </c>
      <c r="J472" s="87"/>
      <c r="K472" s="87"/>
      <c r="L472" s="87">
        <v>293.29000000000002</v>
      </c>
      <c r="M472" s="82"/>
      <c r="N472" s="125">
        <f t="shared" si="29"/>
        <v>2241615.4700000002</v>
      </c>
      <c r="O472" s="84">
        <v>42270</v>
      </c>
      <c r="P472" s="25"/>
    </row>
    <row r="473" spans="1:39" s="26" customFormat="1" ht="37.950000000000003" customHeight="1" x14ac:dyDescent="0.25">
      <c r="A473" s="93">
        <v>1325</v>
      </c>
      <c r="B473" s="90" t="s">
        <v>786</v>
      </c>
      <c r="C473" s="93">
        <v>2013</v>
      </c>
      <c r="D473" s="121" t="s">
        <v>29</v>
      </c>
      <c r="E473" s="90">
        <v>2015</v>
      </c>
      <c r="F473" s="90" t="s">
        <v>787</v>
      </c>
      <c r="G473" s="79">
        <f>N473/L473</f>
        <v>1126.6206104608091</v>
      </c>
      <c r="H473" s="80" t="s">
        <v>788</v>
      </c>
      <c r="I473" s="91" t="s">
        <v>27</v>
      </c>
      <c r="J473" s="87">
        <v>362</v>
      </c>
      <c r="K473" s="87">
        <v>1815</v>
      </c>
      <c r="L473" s="87">
        <v>269.95999999999998</v>
      </c>
      <c r="M473" s="82">
        <v>4.2125000000000004</v>
      </c>
      <c r="N473" s="125">
        <f>72200*M473</f>
        <v>304142.5</v>
      </c>
      <c r="O473" s="84">
        <v>42270</v>
      </c>
      <c r="P473" s="25"/>
    </row>
    <row r="474" spans="1:39" s="26" customFormat="1" ht="115.95" customHeight="1" x14ac:dyDescent="0.25">
      <c r="A474" s="93"/>
      <c r="B474" s="90" t="s">
        <v>38</v>
      </c>
      <c r="C474" s="93">
        <v>2005</v>
      </c>
      <c r="D474" s="121" t="s">
        <v>29</v>
      </c>
      <c r="E474" s="90" t="s">
        <v>795</v>
      </c>
      <c r="F474" s="78" t="s">
        <v>91</v>
      </c>
      <c r="G474" s="79">
        <v>9000</v>
      </c>
      <c r="H474" s="80" t="s">
        <v>47</v>
      </c>
      <c r="I474" s="91" t="s">
        <v>1134</v>
      </c>
      <c r="J474" s="87">
        <v>363</v>
      </c>
      <c r="K474" s="87">
        <v>1816</v>
      </c>
      <c r="L474" s="87">
        <v>267.82</v>
      </c>
      <c r="M474" s="82"/>
      <c r="N474" s="125">
        <f>G474*L474</f>
        <v>2410380</v>
      </c>
      <c r="O474" s="84">
        <v>42270</v>
      </c>
      <c r="P474" s="25"/>
    </row>
    <row r="475" spans="1:39" s="26" customFormat="1" ht="57" customHeight="1" x14ac:dyDescent="0.25">
      <c r="A475" s="93">
        <v>1326</v>
      </c>
      <c r="B475" s="90" t="s">
        <v>789</v>
      </c>
      <c r="C475" s="93">
        <v>2010</v>
      </c>
      <c r="D475" s="113" t="s">
        <v>790</v>
      </c>
      <c r="E475" s="90">
        <v>2015</v>
      </c>
      <c r="F475" s="90" t="s">
        <v>754</v>
      </c>
      <c r="G475" s="79">
        <f>N475/L475</f>
        <v>448.29663653874655</v>
      </c>
      <c r="H475" s="80" t="s">
        <v>50</v>
      </c>
      <c r="I475" s="91" t="s">
        <v>132</v>
      </c>
      <c r="J475" s="87">
        <v>364</v>
      </c>
      <c r="K475" s="87">
        <v>1817</v>
      </c>
      <c r="L475" s="87">
        <v>269.95999999999998</v>
      </c>
      <c r="M475" s="82">
        <v>4.2168000000000001</v>
      </c>
      <c r="N475" s="125">
        <f>28700*M475</f>
        <v>121022.16</v>
      </c>
      <c r="O475" s="84">
        <v>42270</v>
      </c>
      <c r="P475" s="25"/>
    </row>
    <row r="476" spans="1:39" s="26" customFormat="1" ht="60" customHeight="1" x14ac:dyDescent="0.25">
      <c r="A476" s="93"/>
      <c r="B476" s="90" t="s">
        <v>264</v>
      </c>
      <c r="C476" s="93">
        <v>2011</v>
      </c>
      <c r="D476" s="78" t="s">
        <v>267</v>
      </c>
      <c r="E476" s="90" t="s">
        <v>195</v>
      </c>
      <c r="F476" s="90" t="s">
        <v>265</v>
      </c>
      <c r="G476" s="79">
        <f>N476/L476</f>
        <v>1764.976311101645</v>
      </c>
      <c r="H476" s="80" t="s">
        <v>1082</v>
      </c>
      <c r="I476" s="91" t="s">
        <v>132</v>
      </c>
      <c r="J476" s="87">
        <v>365</v>
      </c>
      <c r="K476" s="87">
        <v>1818</v>
      </c>
      <c r="L476" s="87">
        <v>269.95999999999998</v>
      </c>
      <c r="M476" s="82">
        <v>4.1245000000000003</v>
      </c>
      <c r="N476" s="125">
        <f>115522.61*M476</f>
        <v>476473.00494500005</v>
      </c>
      <c r="O476" s="84">
        <v>42270</v>
      </c>
      <c r="P476" s="25"/>
    </row>
    <row r="477" spans="1:39" s="26" customFormat="1" ht="70.95" customHeight="1" x14ac:dyDescent="0.25">
      <c r="A477" s="93"/>
      <c r="B477" s="90" t="s">
        <v>718</v>
      </c>
      <c r="C477" s="93">
        <v>2012</v>
      </c>
      <c r="D477" s="113" t="s">
        <v>719</v>
      </c>
      <c r="E477" s="90" t="s">
        <v>197</v>
      </c>
      <c r="F477" s="78" t="s">
        <v>102</v>
      </c>
      <c r="G477" s="79">
        <v>9000</v>
      </c>
      <c r="H477" s="80" t="s">
        <v>47</v>
      </c>
      <c r="I477" s="91" t="s">
        <v>132</v>
      </c>
      <c r="J477" s="87"/>
      <c r="K477" s="87"/>
      <c r="L477" s="87">
        <v>267.82</v>
      </c>
      <c r="M477" s="82"/>
      <c r="N477" s="125">
        <f>G477*L477</f>
        <v>2410380</v>
      </c>
      <c r="O477" s="84">
        <v>42270</v>
      </c>
      <c r="P477" s="25"/>
    </row>
    <row r="478" spans="1:39" s="26" customFormat="1" ht="42" customHeight="1" x14ac:dyDescent="0.25">
      <c r="A478" s="93"/>
      <c r="B478" s="90" t="s">
        <v>32</v>
      </c>
      <c r="C478" s="93">
        <v>2011</v>
      </c>
      <c r="D478" s="121" t="s">
        <v>29</v>
      </c>
      <c r="E478" s="90" t="s">
        <v>791</v>
      </c>
      <c r="F478" s="78" t="s">
        <v>105</v>
      </c>
      <c r="G478" s="79">
        <f>N478/L478</f>
        <v>164.13542747073643</v>
      </c>
      <c r="H478" s="80" t="s">
        <v>792</v>
      </c>
      <c r="I478" s="91" t="s">
        <v>132</v>
      </c>
      <c r="J478" s="87">
        <v>366</v>
      </c>
      <c r="K478" s="87">
        <v>1819</v>
      </c>
      <c r="L478" s="87">
        <v>269.95999999999998</v>
      </c>
      <c r="M478" s="82">
        <v>4.22</v>
      </c>
      <c r="N478" s="125">
        <f>10500*M478</f>
        <v>44310</v>
      </c>
      <c r="O478" s="84">
        <v>42270</v>
      </c>
      <c r="P478" s="25"/>
    </row>
    <row r="479" spans="1:39" s="26" customFormat="1" ht="48.6" customHeight="1" x14ac:dyDescent="0.25">
      <c r="A479" s="93">
        <v>1327</v>
      </c>
      <c r="B479" s="90" t="s">
        <v>793</v>
      </c>
      <c r="C479" s="93">
        <v>2005</v>
      </c>
      <c r="D479" s="121" t="s">
        <v>29</v>
      </c>
      <c r="E479" s="90">
        <v>2015</v>
      </c>
      <c r="F479" s="90" t="s">
        <v>131</v>
      </c>
      <c r="G479" s="79">
        <f>N479/L479</f>
        <v>390.44673284931105</v>
      </c>
      <c r="H479" s="80" t="s">
        <v>1063</v>
      </c>
      <c r="I479" s="91" t="s">
        <v>27</v>
      </c>
      <c r="J479" s="87">
        <v>367</v>
      </c>
      <c r="K479" s="87">
        <v>1820</v>
      </c>
      <c r="L479" s="87">
        <v>269.95999999999998</v>
      </c>
      <c r="M479" s="82">
        <v>4.2161999999999997</v>
      </c>
      <c r="N479" s="125">
        <f>25000*M479</f>
        <v>105405</v>
      </c>
      <c r="O479" s="84">
        <v>42270</v>
      </c>
      <c r="P479" s="25"/>
    </row>
    <row r="480" spans="1:39" s="26" customFormat="1" ht="49.2" customHeight="1" x14ac:dyDescent="0.25">
      <c r="A480" s="93">
        <v>1328</v>
      </c>
      <c r="B480" s="90" t="s">
        <v>794</v>
      </c>
      <c r="C480" s="93">
        <v>2006</v>
      </c>
      <c r="D480" s="121" t="s">
        <v>29</v>
      </c>
      <c r="E480" s="90">
        <v>2015</v>
      </c>
      <c r="F480" s="90" t="s">
        <v>352</v>
      </c>
      <c r="G480" s="79">
        <v>3956</v>
      </c>
      <c r="H480" s="80" t="s">
        <v>431</v>
      </c>
      <c r="I480" s="91" t="s">
        <v>27</v>
      </c>
      <c r="J480" s="87">
        <v>368</v>
      </c>
      <c r="K480" s="87">
        <v>1821</v>
      </c>
      <c r="L480" s="87">
        <v>267.82</v>
      </c>
      <c r="M480" s="82"/>
      <c r="N480" s="125">
        <f>G480*L480</f>
        <v>1059495.92</v>
      </c>
      <c r="O480" s="84">
        <v>42270</v>
      </c>
      <c r="P480" s="25"/>
    </row>
    <row r="481" spans="1:39" s="24" customFormat="1" ht="47.4" customHeight="1" x14ac:dyDescent="0.25">
      <c r="A481" s="93">
        <v>1329</v>
      </c>
      <c r="B481" s="90" t="s">
        <v>1107</v>
      </c>
      <c r="C481" s="93">
        <v>2011</v>
      </c>
      <c r="D481" s="121" t="s">
        <v>29</v>
      </c>
      <c r="E481" s="90">
        <v>2015</v>
      </c>
      <c r="F481" s="90" t="s">
        <v>469</v>
      </c>
      <c r="G481" s="79">
        <f>N481/L481</f>
        <v>3514.4230769230771</v>
      </c>
      <c r="H481" s="80" t="s">
        <v>1108</v>
      </c>
      <c r="I481" s="91" t="s">
        <v>27</v>
      </c>
      <c r="J481" s="87">
        <v>369</v>
      </c>
      <c r="K481" s="87">
        <v>1822</v>
      </c>
      <c r="L481" s="87">
        <v>270.39999999999998</v>
      </c>
      <c r="M481" s="82">
        <v>42.5</v>
      </c>
      <c r="N481" s="125">
        <f>22360*M481</f>
        <v>950300</v>
      </c>
      <c r="O481" s="84">
        <v>42277</v>
      </c>
      <c r="P481" s="25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</row>
    <row r="482" spans="1:39" s="26" customFormat="1" ht="75" customHeight="1" x14ac:dyDescent="0.25">
      <c r="A482" s="93"/>
      <c r="B482" s="90" t="s">
        <v>441</v>
      </c>
      <c r="C482" s="93">
        <v>2012</v>
      </c>
      <c r="D482" s="111" t="s">
        <v>442</v>
      </c>
      <c r="E482" s="90" t="s">
        <v>195</v>
      </c>
      <c r="F482" s="78" t="s">
        <v>102</v>
      </c>
      <c r="G482" s="79">
        <v>9000</v>
      </c>
      <c r="H482" s="80" t="s">
        <v>47</v>
      </c>
      <c r="I482" s="91" t="s">
        <v>132</v>
      </c>
      <c r="J482" s="87">
        <v>370</v>
      </c>
      <c r="K482" s="87">
        <v>1823</v>
      </c>
      <c r="L482" s="87">
        <v>267.82</v>
      </c>
      <c r="M482" s="82"/>
      <c r="N482" s="125">
        <f>G482*L482</f>
        <v>2410380</v>
      </c>
      <c r="O482" s="84">
        <v>42278</v>
      </c>
      <c r="P482" s="25"/>
    </row>
    <row r="483" spans="1:39" s="27" customFormat="1" ht="99.6" customHeight="1" x14ac:dyDescent="0.25">
      <c r="A483" s="93"/>
      <c r="B483" s="90" t="s">
        <v>82</v>
      </c>
      <c r="C483" s="93">
        <v>2011</v>
      </c>
      <c r="D483" s="113" t="s">
        <v>448</v>
      </c>
      <c r="E483" s="90" t="s">
        <v>429</v>
      </c>
      <c r="F483" s="90" t="s">
        <v>452</v>
      </c>
      <c r="G483" s="79">
        <f>N483/L483</f>
        <v>2218.0055219461769</v>
      </c>
      <c r="H483" s="80" t="s">
        <v>1096</v>
      </c>
      <c r="I483" s="91" t="s">
        <v>132</v>
      </c>
      <c r="J483" s="87">
        <v>371</v>
      </c>
      <c r="K483" s="87">
        <v>1824</v>
      </c>
      <c r="L483" s="87">
        <v>270.89</v>
      </c>
      <c r="M483" s="82">
        <v>4.2287999999999997</v>
      </c>
      <c r="N483" s="125">
        <f>142081.8*M483</f>
        <v>600835.51583999989</v>
      </c>
      <c r="O483" s="84">
        <v>42278</v>
      </c>
      <c r="P483" s="25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</row>
    <row r="484" spans="1:39" s="26" customFormat="1" ht="32.4" customHeight="1" x14ac:dyDescent="0.25">
      <c r="A484" s="173"/>
      <c r="B484" s="175" t="s">
        <v>613</v>
      </c>
      <c r="C484" s="173">
        <v>2014</v>
      </c>
      <c r="D484" s="188" t="s">
        <v>614</v>
      </c>
      <c r="E484" s="175" t="s">
        <v>197</v>
      </c>
      <c r="F484" s="175" t="s">
        <v>91</v>
      </c>
      <c r="G484" s="79">
        <v>9000</v>
      </c>
      <c r="H484" s="80" t="s">
        <v>47</v>
      </c>
      <c r="I484" s="161" t="s">
        <v>132</v>
      </c>
      <c r="J484" s="157"/>
      <c r="K484" s="157"/>
      <c r="L484" s="157">
        <v>243.15</v>
      </c>
      <c r="M484" s="145"/>
      <c r="N484" s="125">
        <f>G484*L484</f>
        <v>2188350</v>
      </c>
      <c r="O484" s="84">
        <v>42279</v>
      </c>
      <c r="P484" s="25"/>
    </row>
    <row r="485" spans="1:39" s="26" customFormat="1" ht="37.950000000000003" customHeight="1" x14ac:dyDescent="0.25">
      <c r="A485" s="174"/>
      <c r="B485" s="176"/>
      <c r="C485" s="174"/>
      <c r="D485" s="189"/>
      <c r="E485" s="176"/>
      <c r="F485" s="176"/>
      <c r="G485" s="79">
        <v>7000</v>
      </c>
      <c r="H485" s="80" t="s">
        <v>78</v>
      </c>
      <c r="I485" s="162"/>
      <c r="J485" s="158"/>
      <c r="K485" s="158"/>
      <c r="L485" s="158"/>
      <c r="M485" s="146"/>
      <c r="N485" s="125">
        <f>G485*L484</f>
        <v>1702050</v>
      </c>
      <c r="O485" s="84">
        <v>42282</v>
      </c>
      <c r="P485" s="25"/>
    </row>
    <row r="486" spans="1:39" s="26" customFormat="1" ht="72" customHeight="1" x14ac:dyDescent="0.25">
      <c r="A486" s="93"/>
      <c r="B486" s="90" t="s">
        <v>441</v>
      </c>
      <c r="C486" s="93">
        <v>2012</v>
      </c>
      <c r="D486" s="111" t="s">
        <v>442</v>
      </c>
      <c r="E486" s="90" t="s">
        <v>197</v>
      </c>
      <c r="F486" s="78" t="s">
        <v>102</v>
      </c>
      <c r="G486" s="79">
        <v>7700</v>
      </c>
      <c r="H486" s="80" t="s">
        <v>1056</v>
      </c>
      <c r="I486" s="91" t="s">
        <v>132</v>
      </c>
      <c r="J486" s="87"/>
      <c r="K486" s="87"/>
      <c r="L486" s="87">
        <v>243.15</v>
      </c>
      <c r="M486" s="82"/>
      <c r="N486" s="125">
        <f>G486*L486</f>
        <v>1872255</v>
      </c>
      <c r="O486" s="84">
        <v>42282</v>
      </c>
      <c r="P486" s="25"/>
    </row>
    <row r="487" spans="1:39" s="26" customFormat="1" ht="74.400000000000006" customHeight="1" x14ac:dyDescent="0.25">
      <c r="A487" s="93">
        <v>1330</v>
      </c>
      <c r="B487" s="90" t="s">
        <v>796</v>
      </c>
      <c r="C487" s="93">
        <v>2014</v>
      </c>
      <c r="D487" s="113" t="s">
        <v>797</v>
      </c>
      <c r="E487" s="90">
        <v>2015</v>
      </c>
      <c r="F487" s="78" t="s">
        <v>437</v>
      </c>
      <c r="G487" s="79">
        <v>8500</v>
      </c>
      <c r="H487" s="80" t="s">
        <v>798</v>
      </c>
      <c r="I487" s="91" t="s">
        <v>132</v>
      </c>
      <c r="J487" s="87">
        <v>372</v>
      </c>
      <c r="K487" s="87">
        <v>1825</v>
      </c>
      <c r="L487" s="87">
        <v>243.15</v>
      </c>
      <c r="M487" s="82"/>
      <c r="N487" s="125">
        <f>G487*L487</f>
        <v>2066775</v>
      </c>
      <c r="O487" s="84">
        <v>42282</v>
      </c>
      <c r="P487" s="25"/>
    </row>
    <row r="488" spans="1:39" s="24" customFormat="1" ht="48.6" customHeight="1" x14ac:dyDescent="0.25">
      <c r="A488" s="93">
        <v>1331</v>
      </c>
      <c r="B488" s="90" t="s">
        <v>1122</v>
      </c>
      <c r="C488" s="93">
        <v>2012</v>
      </c>
      <c r="D488" s="113" t="s">
        <v>29</v>
      </c>
      <c r="E488" s="90">
        <v>2015</v>
      </c>
      <c r="F488" s="78" t="s">
        <v>352</v>
      </c>
      <c r="G488" s="79">
        <v>3956</v>
      </c>
      <c r="H488" s="80" t="s">
        <v>431</v>
      </c>
      <c r="I488" s="91" t="s">
        <v>27</v>
      </c>
      <c r="J488" s="87">
        <v>373</v>
      </c>
      <c r="K488" s="87">
        <v>1826</v>
      </c>
      <c r="L488" s="87">
        <v>273.52999999999997</v>
      </c>
      <c r="M488" s="82"/>
      <c r="N488" s="125">
        <f>G488*L488</f>
        <v>1082084.68</v>
      </c>
      <c r="O488" s="84">
        <v>42286</v>
      </c>
      <c r="P488" s="25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</row>
    <row r="489" spans="1:39" s="26" customFormat="1" ht="49.2" customHeight="1" x14ac:dyDescent="0.25">
      <c r="A489" s="93"/>
      <c r="B489" s="90" t="s">
        <v>513</v>
      </c>
      <c r="C489" s="93">
        <v>2010</v>
      </c>
      <c r="D489" s="113" t="s">
        <v>514</v>
      </c>
      <c r="E489" s="90" t="s">
        <v>195</v>
      </c>
      <c r="F489" s="78" t="s">
        <v>102</v>
      </c>
      <c r="G489" s="79">
        <v>9000</v>
      </c>
      <c r="H489" s="80" t="s">
        <v>47</v>
      </c>
      <c r="I489" s="91" t="s">
        <v>132</v>
      </c>
      <c r="J489" s="87">
        <v>374</v>
      </c>
      <c r="K489" s="87">
        <v>1827</v>
      </c>
      <c r="L489" s="87">
        <v>243.15</v>
      </c>
      <c r="M489" s="82"/>
      <c r="N489" s="125">
        <f>G489*L489</f>
        <v>2188350</v>
      </c>
      <c r="O489" s="84">
        <v>42286</v>
      </c>
      <c r="P489" s="25"/>
    </row>
    <row r="490" spans="1:39" s="26" customFormat="1" ht="77.400000000000006" customHeight="1" x14ac:dyDescent="0.25">
      <c r="A490" s="93"/>
      <c r="B490" s="90" t="s">
        <v>718</v>
      </c>
      <c r="C490" s="93">
        <v>2012</v>
      </c>
      <c r="D490" s="113" t="s">
        <v>719</v>
      </c>
      <c r="E490" s="90" t="s">
        <v>197</v>
      </c>
      <c r="F490" s="78" t="s">
        <v>102</v>
      </c>
      <c r="G490" s="79">
        <v>9000</v>
      </c>
      <c r="H490" s="80" t="s">
        <v>47</v>
      </c>
      <c r="I490" s="91" t="s">
        <v>132</v>
      </c>
      <c r="J490" s="87"/>
      <c r="K490" s="87"/>
      <c r="L490" s="87">
        <v>243.15</v>
      </c>
      <c r="M490" s="82"/>
      <c r="N490" s="125">
        <f>G490*L490</f>
        <v>2188350</v>
      </c>
      <c r="O490" s="84">
        <v>42286</v>
      </c>
      <c r="P490" s="25"/>
    </row>
    <row r="491" spans="1:39" s="26" customFormat="1" ht="49.95" customHeight="1" x14ac:dyDescent="0.25">
      <c r="A491" s="93"/>
      <c r="B491" s="90" t="s">
        <v>537</v>
      </c>
      <c r="C491" s="93">
        <v>2014</v>
      </c>
      <c r="D491" s="78" t="s">
        <v>59</v>
      </c>
      <c r="E491" s="90" t="s">
        <v>195</v>
      </c>
      <c r="F491" s="78" t="s">
        <v>155</v>
      </c>
      <c r="G491" s="79">
        <f>N491/L491</f>
        <v>1466.9601621759955</v>
      </c>
      <c r="H491" s="80" t="s">
        <v>799</v>
      </c>
      <c r="I491" s="91" t="s">
        <v>132</v>
      </c>
      <c r="J491" s="87">
        <v>375</v>
      </c>
      <c r="K491" s="87">
        <v>1828</v>
      </c>
      <c r="L491" s="87">
        <v>273.52999999999997</v>
      </c>
      <c r="M491" s="82">
        <v>4.6635</v>
      </c>
      <c r="N491" s="125">
        <f>86042.16*M491</f>
        <v>401257.61316000001</v>
      </c>
      <c r="O491" s="84">
        <v>42286</v>
      </c>
      <c r="P491" s="25"/>
    </row>
    <row r="492" spans="1:39" s="26" customFormat="1" ht="60" customHeight="1" x14ac:dyDescent="0.25">
      <c r="A492" s="93">
        <v>1332</v>
      </c>
      <c r="B492" s="90" t="s">
        <v>800</v>
      </c>
      <c r="C492" s="93">
        <v>2012</v>
      </c>
      <c r="D492" s="121" t="s">
        <v>24</v>
      </c>
      <c r="E492" s="90">
        <v>2015</v>
      </c>
      <c r="F492" s="78" t="s">
        <v>155</v>
      </c>
      <c r="G492" s="79">
        <f>N492/L492</f>
        <v>1397.395341790663</v>
      </c>
      <c r="H492" s="80" t="s">
        <v>801</v>
      </c>
      <c r="I492" s="91" t="s">
        <v>132</v>
      </c>
      <c r="J492" s="87">
        <v>376</v>
      </c>
      <c r="K492" s="87">
        <v>1829</v>
      </c>
      <c r="L492" s="87">
        <v>273.52999999999997</v>
      </c>
      <c r="M492" s="82">
        <v>4.6619999999999999</v>
      </c>
      <c r="N492" s="125">
        <f>81988.32*M492</f>
        <v>382229.54784000001</v>
      </c>
      <c r="O492" s="84">
        <v>42286</v>
      </c>
      <c r="P492" s="25"/>
    </row>
    <row r="493" spans="1:39" s="71" customFormat="1" ht="61.2" customHeight="1" x14ac:dyDescent="0.25">
      <c r="A493" s="93"/>
      <c r="B493" s="90" t="s">
        <v>228</v>
      </c>
      <c r="C493" s="93">
        <v>2012</v>
      </c>
      <c r="D493" s="78" t="s">
        <v>229</v>
      </c>
      <c r="E493" s="90" t="s">
        <v>195</v>
      </c>
      <c r="F493" s="78" t="s">
        <v>102</v>
      </c>
      <c r="G493" s="79">
        <v>9000</v>
      </c>
      <c r="H493" s="80" t="s">
        <v>47</v>
      </c>
      <c r="I493" s="85" t="s">
        <v>944</v>
      </c>
      <c r="J493" s="87">
        <v>377</v>
      </c>
      <c r="K493" s="87">
        <v>1830</v>
      </c>
      <c r="L493" s="87">
        <v>243.15</v>
      </c>
      <c r="M493" s="82"/>
      <c r="N493" s="125">
        <f t="shared" ref="N493:N501" si="30">G493*L493</f>
        <v>2188350</v>
      </c>
      <c r="O493" s="84">
        <v>42286</v>
      </c>
      <c r="P493" s="25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</row>
    <row r="494" spans="1:39" s="26" customFormat="1" ht="46.2" customHeight="1" x14ac:dyDescent="0.25">
      <c r="A494" s="93"/>
      <c r="B494" s="90" t="s">
        <v>613</v>
      </c>
      <c r="C494" s="93">
        <v>2014</v>
      </c>
      <c r="D494" s="119" t="s">
        <v>614</v>
      </c>
      <c r="E494" s="78" t="s">
        <v>197</v>
      </c>
      <c r="F494" s="78" t="s">
        <v>91</v>
      </c>
      <c r="G494" s="79">
        <v>6000</v>
      </c>
      <c r="H494" s="80" t="s">
        <v>108</v>
      </c>
      <c r="I494" s="91" t="s">
        <v>132</v>
      </c>
      <c r="J494" s="87"/>
      <c r="K494" s="87"/>
      <c r="L494" s="87">
        <v>243.15</v>
      </c>
      <c r="M494" s="82"/>
      <c r="N494" s="125">
        <f t="shared" si="30"/>
        <v>1458900</v>
      </c>
      <c r="O494" s="84">
        <v>42298</v>
      </c>
      <c r="P494" s="25"/>
    </row>
    <row r="495" spans="1:39" s="26" customFormat="1" ht="46.2" customHeight="1" x14ac:dyDescent="0.25">
      <c r="A495" s="93"/>
      <c r="B495" s="90" t="s">
        <v>513</v>
      </c>
      <c r="C495" s="93">
        <v>2010</v>
      </c>
      <c r="D495" s="113" t="s">
        <v>514</v>
      </c>
      <c r="E495" s="78" t="s">
        <v>197</v>
      </c>
      <c r="F495" s="78" t="s">
        <v>102</v>
      </c>
      <c r="G495" s="79">
        <v>6200</v>
      </c>
      <c r="H495" s="80" t="s">
        <v>996</v>
      </c>
      <c r="I495" s="91" t="s">
        <v>132</v>
      </c>
      <c r="J495" s="87"/>
      <c r="K495" s="87"/>
      <c r="L495" s="87">
        <v>243.15</v>
      </c>
      <c r="M495" s="82"/>
      <c r="N495" s="125">
        <f t="shared" si="30"/>
        <v>1507530</v>
      </c>
      <c r="O495" s="84">
        <v>42298</v>
      </c>
      <c r="P495" s="25"/>
    </row>
    <row r="496" spans="1:39" s="26" customFormat="1" ht="73.2" customHeight="1" x14ac:dyDescent="0.25">
      <c r="A496" s="93"/>
      <c r="B496" s="90" t="s">
        <v>718</v>
      </c>
      <c r="C496" s="93">
        <v>2012</v>
      </c>
      <c r="D496" s="113" t="s">
        <v>719</v>
      </c>
      <c r="E496" s="78" t="s">
        <v>197</v>
      </c>
      <c r="F496" s="78" t="s">
        <v>102</v>
      </c>
      <c r="G496" s="79">
        <v>7200</v>
      </c>
      <c r="H496" s="80" t="s">
        <v>802</v>
      </c>
      <c r="I496" s="91" t="s">
        <v>132</v>
      </c>
      <c r="J496" s="87"/>
      <c r="K496" s="87"/>
      <c r="L496" s="87">
        <v>243.15</v>
      </c>
      <c r="M496" s="82"/>
      <c r="N496" s="125">
        <f t="shared" si="30"/>
        <v>1750680</v>
      </c>
      <c r="O496" s="84">
        <v>42298</v>
      </c>
      <c r="P496" s="25"/>
    </row>
    <row r="497" spans="1:39" s="71" customFormat="1" ht="40.950000000000003" customHeight="1" x14ac:dyDescent="0.25">
      <c r="A497" s="173"/>
      <c r="B497" s="175" t="s">
        <v>228</v>
      </c>
      <c r="C497" s="173">
        <v>2012</v>
      </c>
      <c r="D497" s="175" t="s">
        <v>229</v>
      </c>
      <c r="E497" s="175" t="s">
        <v>197</v>
      </c>
      <c r="F497" s="175" t="s">
        <v>102</v>
      </c>
      <c r="G497" s="79">
        <v>9000</v>
      </c>
      <c r="H497" s="80" t="s">
        <v>47</v>
      </c>
      <c r="I497" s="161" t="s">
        <v>531</v>
      </c>
      <c r="J497" s="157"/>
      <c r="K497" s="157"/>
      <c r="L497" s="87">
        <v>243.15</v>
      </c>
      <c r="M497" s="82"/>
      <c r="N497" s="125">
        <f t="shared" si="30"/>
        <v>2188350</v>
      </c>
      <c r="O497" s="84">
        <v>42298</v>
      </c>
      <c r="P497" s="25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</row>
    <row r="498" spans="1:39" s="71" customFormat="1" ht="36" customHeight="1" x14ac:dyDescent="0.25">
      <c r="A498" s="180"/>
      <c r="B498" s="178"/>
      <c r="C498" s="180"/>
      <c r="D498" s="178"/>
      <c r="E498" s="178"/>
      <c r="F498" s="178"/>
      <c r="G498" s="79">
        <v>9000</v>
      </c>
      <c r="H498" s="80" t="s">
        <v>47</v>
      </c>
      <c r="I498" s="164"/>
      <c r="J498" s="151"/>
      <c r="K498" s="151"/>
      <c r="L498" s="87">
        <v>243.15</v>
      </c>
      <c r="M498" s="82"/>
      <c r="N498" s="125">
        <f t="shared" si="30"/>
        <v>2188350</v>
      </c>
      <c r="O498" s="84">
        <v>42300</v>
      </c>
      <c r="P498" s="25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</row>
    <row r="499" spans="1:39" s="26" customFormat="1" ht="35.4" customHeight="1" x14ac:dyDescent="0.25">
      <c r="A499" s="173"/>
      <c r="B499" s="175" t="s">
        <v>747</v>
      </c>
      <c r="C499" s="173">
        <v>2003</v>
      </c>
      <c r="D499" s="175" t="s">
        <v>29</v>
      </c>
      <c r="E499" s="175" t="s">
        <v>805</v>
      </c>
      <c r="F499" s="175" t="s">
        <v>437</v>
      </c>
      <c r="G499" s="79">
        <v>9000</v>
      </c>
      <c r="H499" s="80" t="s">
        <v>47</v>
      </c>
      <c r="I499" s="161" t="s">
        <v>132</v>
      </c>
      <c r="J499" s="157">
        <v>378</v>
      </c>
      <c r="K499" s="157">
        <v>1831</v>
      </c>
      <c r="L499" s="87">
        <v>243.15</v>
      </c>
      <c r="M499" s="82"/>
      <c r="N499" s="125">
        <f t="shared" si="30"/>
        <v>2188350</v>
      </c>
      <c r="O499" s="84">
        <v>42298</v>
      </c>
      <c r="P499" s="25"/>
    </row>
    <row r="500" spans="1:39" s="26" customFormat="1" ht="35.4" customHeight="1" x14ac:dyDescent="0.25">
      <c r="A500" s="180"/>
      <c r="B500" s="178"/>
      <c r="C500" s="180"/>
      <c r="D500" s="178"/>
      <c r="E500" s="178"/>
      <c r="F500" s="178"/>
      <c r="G500" s="79">
        <v>9000</v>
      </c>
      <c r="H500" s="80" t="s">
        <v>47</v>
      </c>
      <c r="I500" s="164"/>
      <c r="J500" s="151"/>
      <c r="K500" s="151"/>
      <c r="L500" s="87">
        <v>243.15</v>
      </c>
      <c r="M500" s="82"/>
      <c r="N500" s="125">
        <f t="shared" si="30"/>
        <v>2188350</v>
      </c>
      <c r="O500" s="84">
        <v>42300</v>
      </c>
      <c r="P500" s="25"/>
    </row>
    <row r="501" spans="1:39" s="71" customFormat="1" ht="49.95" customHeight="1" x14ac:dyDescent="0.25">
      <c r="A501" s="173">
        <v>1333</v>
      </c>
      <c r="B501" s="175" t="s">
        <v>803</v>
      </c>
      <c r="C501" s="173">
        <v>2014</v>
      </c>
      <c r="D501" s="177" t="s">
        <v>804</v>
      </c>
      <c r="E501" s="175">
        <v>2015</v>
      </c>
      <c r="F501" s="175" t="s">
        <v>91</v>
      </c>
      <c r="G501" s="153">
        <v>5300</v>
      </c>
      <c r="H501" s="155" t="s">
        <v>552</v>
      </c>
      <c r="I501" s="161" t="s">
        <v>132</v>
      </c>
      <c r="J501" s="157">
        <v>379</v>
      </c>
      <c r="K501" s="157">
        <v>1832</v>
      </c>
      <c r="L501" s="157">
        <v>243.15</v>
      </c>
      <c r="M501" s="145"/>
      <c r="N501" s="147">
        <f t="shared" si="30"/>
        <v>1288695</v>
      </c>
      <c r="O501" s="149">
        <v>42300</v>
      </c>
      <c r="P501" s="25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</row>
    <row r="502" spans="1:39" s="71" customFormat="1" ht="24.6" customHeight="1" x14ac:dyDescent="0.25">
      <c r="A502" s="174"/>
      <c r="B502" s="176"/>
      <c r="C502" s="174"/>
      <c r="D502" s="187"/>
      <c r="E502" s="176"/>
      <c r="F502" s="176"/>
      <c r="G502" s="212"/>
      <c r="H502" s="213"/>
      <c r="I502" s="162"/>
      <c r="J502" s="158"/>
      <c r="K502" s="158"/>
      <c r="L502" s="151"/>
      <c r="M502" s="146"/>
      <c r="N502" s="151"/>
      <c r="O502" s="152"/>
      <c r="P502" s="25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</row>
    <row r="503" spans="1:39" s="26" customFormat="1" ht="46.2" customHeight="1" x14ac:dyDescent="0.25">
      <c r="A503" s="93"/>
      <c r="B503" s="90" t="s">
        <v>340</v>
      </c>
      <c r="C503" s="93">
        <v>2010</v>
      </c>
      <c r="D503" s="109" t="s">
        <v>341</v>
      </c>
      <c r="E503" s="90" t="s">
        <v>195</v>
      </c>
      <c r="F503" s="78" t="s">
        <v>91</v>
      </c>
      <c r="G503" s="79">
        <v>9000</v>
      </c>
      <c r="H503" s="80" t="s">
        <v>47</v>
      </c>
      <c r="I503" s="91" t="s">
        <v>132</v>
      </c>
      <c r="J503" s="87">
        <v>380</v>
      </c>
      <c r="K503" s="87">
        <v>1833</v>
      </c>
      <c r="L503" s="87">
        <v>243.15</v>
      </c>
      <c r="M503" s="82"/>
      <c r="N503" s="125">
        <f>G503*L503</f>
        <v>2188350</v>
      </c>
      <c r="O503" s="84">
        <v>42300</v>
      </c>
      <c r="P503" s="25"/>
    </row>
    <row r="504" spans="1:39" s="26" customFormat="1" ht="46.2" customHeight="1" x14ac:dyDescent="0.25">
      <c r="A504" s="93">
        <v>1334</v>
      </c>
      <c r="B504" s="90" t="s">
        <v>806</v>
      </c>
      <c r="C504" s="93">
        <v>2011</v>
      </c>
      <c r="D504" s="95" t="s">
        <v>29</v>
      </c>
      <c r="E504" s="90">
        <v>2015</v>
      </c>
      <c r="F504" s="90" t="s">
        <v>329</v>
      </c>
      <c r="G504" s="79">
        <f>N504/L504</f>
        <v>330.06581359404771</v>
      </c>
      <c r="H504" s="80" t="s">
        <v>1004</v>
      </c>
      <c r="I504" s="91" t="s">
        <v>27</v>
      </c>
      <c r="J504" s="87">
        <v>381</v>
      </c>
      <c r="K504" s="87">
        <v>1834</v>
      </c>
      <c r="L504" s="87">
        <v>278.20999999999998</v>
      </c>
      <c r="M504" s="82">
        <v>4.6612999999999998</v>
      </c>
      <c r="N504" s="125">
        <f>19700*M504</f>
        <v>91827.61</v>
      </c>
      <c r="O504" s="84">
        <v>42300</v>
      </c>
      <c r="P504" s="25"/>
    </row>
    <row r="505" spans="1:39" s="26" customFormat="1" ht="46.2" customHeight="1" x14ac:dyDescent="0.25">
      <c r="A505" s="93">
        <v>1335</v>
      </c>
      <c r="B505" s="90" t="s">
        <v>807</v>
      </c>
      <c r="C505" s="93">
        <v>2011</v>
      </c>
      <c r="D505" s="95" t="s">
        <v>29</v>
      </c>
      <c r="E505" s="90">
        <v>2015</v>
      </c>
      <c r="F505" s="90" t="s">
        <v>329</v>
      </c>
      <c r="G505" s="79">
        <f>N505/L505</f>
        <v>2448.1672118184106</v>
      </c>
      <c r="H505" s="80" t="s">
        <v>1009</v>
      </c>
      <c r="I505" s="91" t="s">
        <v>27</v>
      </c>
      <c r="J505" s="87">
        <v>382</v>
      </c>
      <c r="K505" s="87">
        <v>1835</v>
      </c>
      <c r="L505" s="87">
        <v>278.20999999999998</v>
      </c>
      <c r="M505" s="82">
        <v>4.6650999999999998</v>
      </c>
      <c r="N505" s="125">
        <f>146000*M505</f>
        <v>681104.6</v>
      </c>
      <c r="O505" s="84">
        <v>42300</v>
      </c>
      <c r="P505" s="25"/>
    </row>
    <row r="506" spans="1:39" s="26" customFormat="1" ht="46.2" customHeight="1" x14ac:dyDescent="0.25">
      <c r="A506" s="93">
        <v>1336</v>
      </c>
      <c r="B506" s="90" t="s">
        <v>808</v>
      </c>
      <c r="C506" s="93">
        <v>2010</v>
      </c>
      <c r="D506" s="95" t="s">
        <v>29</v>
      </c>
      <c r="E506" s="90">
        <v>2015</v>
      </c>
      <c r="F506" s="90" t="s">
        <v>329</v>
      </c>
      <c r="G506" s="79">
        <f>N506/L506</f>
        <v>2467.7975270479133</v>
      </c>
      <c r="H506" s="80" t="s">
        <v>809</v>
      </c>
      <c r="I506" s="91" t="s">
        <v>27</v>
      </c>
      <c r="J506" s="87">
        <v>383</v>
      </c>
      <c r="K506" s="87">
        <v>1836</v>
      </c>
      <c r="L506" s="87">
        <v>278.20999999999998</v>
      </c>
      <c r="M506" s="82">
        <v>4.5618999999999996</v>
      </c>
      <c r="N506" s="125">
        <f>150500*M506</f>
        <v>686565.95</v>
      </c>
      <c r="O506" s="84">
        <v>42300</v>
      </c>
      <c r="P506" s="25"/>
    </row>
    <row r="507" spans="1:39" s="26" customFormat="1" ht="47.4" customHeight="1" x14ac:dyDescent="0.25">
      <c r="A507" s="93">
        <v>1337</v>
      </c>
      <c r="B507" s="90" t="s">
        <v>810</v>
      </c>
      <c r="C507" s="93">
        <v>2007</v>
      </c>
      <c r="D507" s="95" t="s">
        <v>29</v>
      </c>
      <c r="E507" s="90">
        <v>2015</v>
      </c>
      <c r="F507" s="90" t="s">
        <v>329</v>
      </c>
      <c r="G507" s="79">
        <f>N507/L507</f>
        <v>2721.5384062398912</v>
      </c>
      <c r="H507" s="80" t="s">
        <v>25</v>
      </c>
      <c r="I507" s="91" t="s">
        <v>27</v>
      </c>
      <c r="J507" s="87">
        <v>384</v>
      </c>
      <c r="K507" s="87">
        <v>1837</v>
      </c>
      <c r="L507" s="87">
        <v>278.20999999999998</v>
      </c>
      <c r="M507" s="82">
        <v>4.5612000000000004</v>
      </c>
      <c r="N507" s="125">
        <f>166000*M507</f>
        <v>757159.20000000007</v>
      </c>
      <c r="O507" s="84">
        <v>42300</v>
      </c>
      <c r="P507" s="25"/>
    </row>
    <row r="508" spans="1:39" s="26" customFormat="1" ht="57.6" customHeight="1" x14ac:dyDescent="0.25">
      <c r="A508" s="93">
        <v>1338</v>
      </c>
      <c r="B508" s="90" t="s">
        <v>811</v>
      </c>
      <c r="C508" s="93">
        <v>2008</v>
      </c>
      <c r="D508" s="95" t="s">
        <v>29</v>
      </c>
      <c r="E508" s="90">
        <v>2015</v>
      </c>
      <c r="F508" s="78" t="s">
        <v>44</v>
      </c>
      <c r="G508" s="79">
        <v>4000</v>
      </c>
      <c r="H508" s="80" t="s">
        <v>95</v>
      </c>
      <c r="I508" s="91" t="s">
        <v>27</v>
      </c>
      <c r="J508" s="87">
        <v>385</v>
      </c>
      <c r="K508" s="87">
        <v>1838</v>
      </c>
      <c r="L508" s="87">
        <v>278.95</v>
      </c>
      <c r="M508" s="82"/>
      <c r="N508" s="125">
        <f>G508*L508</f>
        <v>1115800</v>
      </c>
      <c r="O508" s="84">
        <v>42300</v>
      </c>
      <c r="P508" s="25"/>
    </row>
    <row r="509" spans="1:39" s="26" customFormat="1" ht="35.4" customHeight="1" x14ac:dyDescent="0.25">
      <c r="A509" s="93"/>
      <c r="B509" s="78" t="s">
        <v>747</v>
      </c>
      <c r="C509" s="93">
        <v>2003</v>
      </c>
      <c r="D509" s="78" t="s">
        <v>29</v>
      </c>
      <c r="E509" s="90" t="s">
        <v>197</v>
      </c>
      <c r="F509" s="78" t="s">
        <v>437</v>
      </c>
      <c r="G509" s="79">
        <v>2000</v>
      </c>
      <c r="H509" s="80" t="s">
        <v>79</v>
      </c>
      <c r="I509" s="91" t="s">
        <v>132</v>
      </c>
      <c r="J509" s="87"/>
      <c r="K509" s="87"/>
      <c r="L509" s="87">
        <v>243.15</v>
      </c>
      <c r="M509" s="82"/>
      <c r="N509" s="125">
        <f>G509*L509</f>
        <v>486300</v>
      </c>
      <c r="O509" s="84">
        <v>42304</v>
      </c>
      <c r="P509" s="25"/>
    </row>
    <row r="510" spans="1:39" s="71" customFormat="1" ht="52.95" customHeight="1" x14ac:dyDescent="0.25">
      <c r="A510" s="173"/>
      <c r="B510" s="184" t="s">
        <v>511</v>
      </c>
      <c r="C510" s="173">
        <v>2013</v>
      </c>
      <c r="D510" s="177" t="s">
        <v>512</v>
      </c>
      <c r="E510" s="175" t="s">
        <v>195</v>
      </c>
      <c r="F510" s="175" t="s">
        <v>452</v>
      </c>
      <c r="G510" s="153">
        <f t="shared" ref="G510:G518" si="31">N510/L510</f>
        <v>8041.5110594148273</v>
      </c>
      <c r="H510" s="155" t="s">
        <v>1089</v>
      </c>
      <c r="I510" s="161" t="s">
        <v>1135</v>
      </c>
      <c r="J510" s="157">
        <v>386</v>
      </c>
      <c r="K510" s="157">
        <v>1839</v>
      </c>
      <c r="L510" s="157">
        <v>278.55</v>
      </c>
      <c r="M510" s="145">
        <v>4.4752000000000001</v>
      </c>
      <c r="N510" s="147">
        <f>500528*M510</f>
        <v>2239962.9056000002</v>
      </c>
      <c r="O510" s="149">
        <v>42304</v>
      </c>
      <c r="P510" s="25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</row>
    <row r="511" spans="1:39" s="71" customFormat="1" ht="64.95" customHeight="1" x14ac:dyDescent="0.25">
      <c r="A511" s="174"/>
      <c r="B511" s="178"/>
      <c r="C511" s="174"/>
      <c r="D511" s="178"/>
      <c r="E511" s="176"/>
      <c r="F511" s="176"/>
      <c r="G511" s="154"/>
      <c r="H511" s="156"/>
      <c r="I511" s="162"/>
      <c r="J511" s="158"/>
      <c r="K511" s="158"/>
      <c r="L511" s="158"/>
      <c r="M511" s="146"/>
      <c r="N511" s="148"/>
      <c r="O511" s="150"/>
      <c r="P511" s="25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</row>
    <row r="512" spans="1:39" s="26" customFormat="1" ht="36" customHeight="1" x14ac:dyDescent="0.25">
      <c r="A512" s="93">
        <v>1339</v>
      </c>
      <c r="B512" s="90" t="s">
        <v>812</v>
      </c>
      <c r="C512" s="93">
        <v>2013</v>
      </c>
      <c r="D512" s="130" t="s">
        <v>29</v>
      </c>
      <c r="E512" s="90">
        <v>2015</v>
      </c>
      <c r="F512" s="78" t="s">
        <v>105</v>
      </c>
      <c r="G512" s="79">
        <f t="shared" si="31"/>
        <v>2197.0823012026567</v>
      </c>
      <c r="H512" s="80" t="s">
        <v>813</v>
      </c>
      <c r="I512" s="91" t="s">
        <v>27</v>
      </c>
      <c r="J512" s="87">
        <v>387</v>
      </c>
      <c r="K512" s="87">
        <v>1840</v>
      </c>
      <c r="L512" s="87">
        <v>278.55</v>
      </c>
      <c r="M512" s="82">
        <v>4.4752999999999998</v>
      </c>
      <c r="N512" s="125">
        <f>136750*M512</f>
        <v>611997.27500000002</v>
      </c>
      <c r="O512" s="84">
        <v>42304</v>
      </c>
      <c r="P512" s="25"/>
    </row>
    <row r="513" spans="1:16" s="26" customFormat="1" ht="37.200000000000003" customHeight="1" x14ac:dyDescent="0.25">
      <c r="A513" s="93">
        <v>1340</v>
      </c>
      <c r="B513" s="90" t="s">
        <v>814</v>
      </c>
      <c r="C513" s="93">
        <v>2013</v>
      </c>
      <c r="D513" s="130" t="s">
        <v>29</v>
      </c>
      <c r="E513" s="90">
        <v>2015</v>
      </c>
      <c r="F513" s="78" t="s">
        <v>105</v>
      </c>
      <c r="G513" s="79">
        <f t="shared" si="31"/>
        <v>2334.157673667205</v>
      </c>
      <c r="H513" s="80" t="s">
        <v>717</v>
      </c>
      <c r="I513" s="91" t="s">
        <v>27</v>
      </c>
      <c r="J513" s="87">
        <v>388</v>
      </c>
      <c r="K513" s="87">
        <v>1841</v>
      </c>
      <c r="L513" s="87">
        <v>278.55</v>
      </c>
      <c r="M513" s="82">
        <v>4.4732000000000003</v>
      </c>
      <c r="N513" s="125">
        <f>145350*M513</f>
        <v>650179.62</v>
      </c>
      <c r="O513" s="84">
        <v>42304</v>
      </c>
      <c r="P513" s="25"/>
    </row>
    <row r="514" spans="1:16" s="26" customFormat="1" ht="34.200000000000003" customHeight="1" x14ac:dyDescent="0.25">
      <c r="A514" s="93">
        <v>1341</v>
      </c>
      <c r="B514" s="90" t="s">
        <v>815</v>
      </c>
      <c r="C514" s="93">
        <v>2010</v>
      </c>
      <c r="D514" s="130" t="s">
        <v>29</v>
      </c>
      <c r="E514" s="90">
        <v>2015</v>
      </c>
      <c r="F514" s="90" t="s">
        <v>145</v>
      </c>
      <c r="G514" s="79">
        <f t="shared" si="31"/>
        <v>1941.5181475498114</v>
      </c>
      <c r="H514" s="80" t="s">
        <v>816</v>
      </c>
      <c r="I514" s="91" t="s">
        <v>27</v>
      </c>
      <c r="J514" s="87">
        <v>389</v>
      </c>
      <c r="K514" s="87">
        <v>1842</v>
      </c>
      <c r="L514" s="87">
        <v>278.55</v>
      </c>
      <c r="M514" s="82">
        <v>4.4732000000000003</v>
      </c>
      <c r="N514" s="125">
        <f>120900*M514</f>
        <v>540809.88</v>
      </c>
      <c r="O514" s="84">
        <v>42304</v>
      </c>
      <c r="P514" s="25"/>
    </row>
    <row r="515" spans="1:16" s="26" customFormat="1" ht="36.6" customHeight="1" x14ac:dyDescent="0.25">
      <c r="A515" s="93">
        <v>1342</v>
      </c>
      <c r="B515" s="90" t="s">
        <v>817</v>
      </c>
      <c r="C515" s="93">
        <v>2010</v>
      </c>
      <c r="D515" s="130" t="s">
        <v>29</v>
      </c>
      <c r="E515" s="90">
        <v>2015</v>
      </c>
      <c r="F515" s="90" t="s">
        <v>145</v>
      </c>
      <c r="G515" s="79">
        <f t="shared" si="31"/>
        <v>1992.9065517860347</v>
      </c>
      <c r="H515" s="80" t="s">
        <v>818</v>
      </c>
      <c r="I515" s="91" t="s">
        <v>27</v>
      </c>
      <c r="J515" s="87">
        <v>390</v>
      </c>
      <c r="K515" s="87">
        <v>1843</v>
      </c>
      <c r="L515" s="87">
        <v>278.55</v>
      </c>
      <c r="M515" s="82">
        <v>4.4732000000000003</v>
      </c>
      <c r="N515" s="125">
        <f>124100*M515</f>
        <v>555124.12</v>
      </c>
      <c r="O515" s="84">
        <v>42304</v>
      </c>
      <c r="P515" s="25"/>
    </row>
    <row r="516" spans="1:16" s="26" customFormat="1" ht="48.6" customHeight="1" x14ac:dyDescent="0.25">
      <c r="A516" s="93">
        <v>1343</v>
      </c>
      <c r="B516" s="90" t="s">
        <v>819</v>
      </c>
      <c r="C516" s="93">
        <v>2009</v>
      </c>
      <c r="D516" s="130" t="s">
        <v>29</v>
      </c>
      <c r="E516" s="90">
        <v>2015</v>
      </c>
      <c r="F516" s="90" t="s">
        <v>329</v>
      </c>
      <c r="G516" s="79">
        <f t="shared" si="31"/>
        <v>2559.1554119547654</v>
      </c>
      <c r="H516" s="80" t="s">
        <v>820</v>
      </c>
      <c r="I516" s="91" t="s">
        <v>27</v>
      </c>
      <c r="J516" s="87">
        <v>391</v>
      </c>
      <c r="K516" s="87">
        <v>1844</v>
      </c>
      <c r="L516" s="87">
        <v>278.55</v>
      </c>
      <c r="M516" s="82">
        <v>4.4721000000000002</v>
      </c>
      <c r="N516" s="125">
        <f>159400*M516</f>
        <v>712852.74</v>
      </c>
      <c r="O516" s="84">
        <v>42304</v>
      </c>
      <c r="P516" s="25"/>
    </row>
    <row r="517" spans="1:16" s="26" customFormat="1" ht="66" customHeight="1" x14ac:dyDescent="0.25">
      <c r="A517" s="93"/>
      <c r="B517" s="90" t="s">
        <v>278</v>
      </c>
      <c r="C517" s="93">
        <v>2014</v>
      </c>
      <c r="D517" s="113" t="s">
        <v>634</v>
      </c>
      <c r="E517" s="90" t="s">
        <v>449</v>
      </c>
      <c r="F517" s="78" t="s">
        <v>155</v>
      </c>
      <c r="G517" s="79">
        <f t="shared" si="31"/>
        <v>1380.0142274780112</v>
      </c>
      <c r="H517" s="80" t="s">
        <v>635</v>
      </c>
      <c r="I517" s="91" t="s">
        <v>132</v>
      </c>
      <c r="J517" s="87">
        <v>392</v>
      </c>
      <c r="K517" s="87">
        <v>1845</v>
      </c>
      <c r="L517" s="87">
        <v>278.55</v>
      </c>
      <c r="M517" s="82">
        <v>4.5754000000000001</v>
      </c>
      <c r="N517" s="125">
        <f>84015.16*M517</f>
        <v>384402.96306400001</v>
      </c>
      <c r="O517" s="84">
        <v>42304</v>
      </c>
      <c r="P517" s="25"/>
    </row>
    <row r="518" spans="1:16" s="26" customFormat="1" ht="64.95" customHeight="1" x14ac:dyDescent="0.25">
      <c r="A518" s="93"/>
      <c r="B518" s="90" t="s">
        <v>154</v>
      </c>
      <c r="C518" s="93">
        <v>2013</v>
      </c>
      <c r="D518" s="113" t="s">
        <v>634</v>
      </c>
      <c r="E518" s="90" t="s">
        <v>449</v>
      </c>
      <c r="F518" s="78" t="s">
        <v>155</v>
      </c>
      <c r="G518" s="79">
        <f t="shared" si="31"/>
        <v>1343.8640894345717</v>
      </c>
      <c r="H518" s="80" t="s">
        <v>821</v>
      </c>
      <c r="I518" s="91" t="s">
        <v>132</v>
      </c>
      <c r="J518" s="87">
        <v>393</v>
      </c>
      <c r="K518" s="87">
        <v>1846</v>
      </c>
      <c r="L518" s="87">
        <v>278.55</v>
      </c>
      <c r="M518" s="82">
        <v>4.5656999999999996</v>
      </c>
      <c r="N518" s="125">
        <f>81988.16*M518</f>
        <v>374333.34211199998</v>
      </c>
      <c r="O518" s="84">
        <v>42304</v>
      </c>
      <c r="P518" s="25"/>
    </row>
    <row r="519" spans="1:16" s="26" customFormat="1" ht="45" customHeight="1" x14ac:dyDescent="0.25">
      <c r="A519" s="93">
        <v>1344</v>
      </c>
      <c r="B519" s="90" t="s">
        <v>822</v>
      </c>
      <c r="C519" s="93">
        <v>2013</v>
      </c>
      <c r="D519" s="130" t="s">
        <v>29</v>
      </c>
      <c r="E519" s="90">
        <v>2015</v>
      </c>
      <c r="F519" s="90" t="s">
        <v>823</v>
      </c>
      <c r="G519" s="79">
        <v>4000</v>
      </c>
      <c r="H519" s="80" t="s">
        <v>95</v>
      </c>
      <c r="I519" s="91" t="s">
        <v>27</v>
      </c>
      <c r="J519" s="87">
        <v>394</v>
      </c>
      <c r="K519" s="87">
        <v>1847</v>
      </c>
      <c r="L519" s="87">
        <v>280.35000000000002</v>
      </c>
      <c r="M519" s="82"/>
      <c r="N519" s="125">
        <f>G519*L519</f>
        <v>1121400</v>
      </c>
      <c r="O519" s="84">
        <v>42304</v>
      </c>
      <c r="P519" s="25"/>
    </row>
    <row r="520" spans="1:16" s="26" customFormat="1" ht="154.19999999999999" customHeight="1" x14ac:dyDescent="0.25">
      <c r="A520" s="93">
        <v>1345</v>
      </c>
      <c r="B520" s="90" t="s">
        <v>824</v>
      </c>
      <c r="C520" s="93">
        <v>2011</v>
      </c>
      <c r="D520" s="113" t="s">
        <v>825</v>
      </c>
      <c r="E520" s="90">
        <v>2015</v>
      </c>
      <c r="F520" s="90" t="s">
        <v>826</v>
      </c>
      <c r="G520" s="79">
        <f t="shared" ref="G520:G530" si="32">N520/L520</f>
        <v>7936.3203323663201</v>
      </c>
      <c r="H520" s="80" t="s">
        <v>827</v>
      </c>
      <c r="I520" s="91" t="s">
        <v>132</v>
      </c>
      <c r="J520" s="87">
        <v>395</v>
      </c>
      <c r="K520" s="87">
        <v>1848</v>
      </c>
      <c r="L520" s="87">
        <v>279.20999999999998</v>
      </c>
      <c r="M520" s="82">
        <v>4.4318</v>
      </c>
      <c r="N520" s="125">
        <f>500000*M520</f>
        <v>2215900</v>
      </c>
      <c r="O520" s="84">
        <v>42307</v>
      </c>
      <c r="P520" s="25"/>
    </row>
    <row r="521" spans="1:16" s="26" customFormat="1" ht="45.6" customHeight="1" x14ac:dyDescent="0.25">
      <c r="A521" s="93">
        <v>1346</v>
      </c>
      <c r="B521" s="90" t="s">
        <v>828</v>
      </c>
      <c r="C521" s="93">
        <v>2012</v>
      </c>
      <c r="D521" s="130" t="s">
        <v>29</v>
      </c>
      <c r="E521" s="90">
        <v>2015</v>
      </c>
      <c r="F521" s="90" t="s">
        <v>329</v>
      </c>
      <c r="G521" s="79">
        <f t="shared" si="32"/>
        <v>1901.5423516349704</v>
      </c>
      <c r="H521" s="80" t="s">
        <v>829</v>
      </c>
      <c r="I521" s="91" t="s">
        <v>27</v>
      </c>
      <c r="J521" s="87">
        <v>396</v>
      </c>
      <c r="K521" s="87">
        <v>1849</v>
      </c>
      <c r="L521" s="87">
        <v>279.20999999999998</v>
      </c>
      <c r="M521" s="82">
        <v>4.4318</v>
      </c>
      <c r="N521" s="125">
        <f>119800*M521</f>
        <v>530929.64</v>
      </c>
      <c r="O521" s="84">
        <v>42307</v>
      </c>
      <c r="P521" s="25"/>
    </row>
    <row r="522" spans="1:16" s="26" customFormat="1" ht="47.4" customHeight="1" x14ac:dyDescent="0.25">
      <c r="A522" s="93">
        <v>1347</v>
      </c>
      <c r="B522" s="90" t="s">
        <v>830</v>
      </c>
      <c r="C522" s="93">
        <v>2012</v>
      </c>
      <c r="D522" s="130" t="s">
        <v>29</v>
      </c>
      <c r="E522" s="90">
        <v>2015</v>
      </c>
      <c r="F522" s="90" t="s">
        <v>329</v>
      </c>
      <c r="G522" s="79">
        <f t="shared" si="32"/>
        <v>2253.9149743920348</v>
      </c>
      <c r="H522" s="80" t="s">
        <v>831</v>
      </c>
      <c r="I522" s="91" t="s">
        <v>27</v>
      </c>
      <c r="J522" s="87">
        <v>397</v>
      </c>
      <c r="K522" s="87">
        <v>1850</v>
      </c>
      <c r="L522" s="87">
        <v>279.20999999999998</v>
      </c>
      <c r="M522" s="82">
        <v>4.4318</v>
      </c>
      <c r="N522" s="125">
        <f>142000*M522</f>
        <v>629315.6</v>
      </c>
      <c r="O522" s="84">
        <v>42307</v>
      </c>
      <c r="P522" s="25"/>
    </row>
    <row r="523" spans="1:16" s="26" customFormat="1" ht="45.6" customHeight="1" x14ac:dyDescent="0.25">
      <c r="A523" s="93"/>
      <c r="B523" s="90" t="s">
        <v>806</v>
      </c>
      <c r="C523" s="93">
        <v>2011</v>
      </c>
      <c r="D523" s="130" t="s">
        <v>29</v>
      </c>
      <c r="E523" s="90" t="s">
        <v>197</v>
      </c>
      <c r="F523" s="90" t="s">
        <v>329</v>
      </c>
      <c r="G523" s="79">
        <f t="shared" si="32"/>
        <v>1940.8111099172668</v>
      </c>
      <c r="H523" s="80" t="s">
        <v>1010</v>
      </c>
      <c r="I523" s="91" t="s">
        <v>27</v>
      </c>
      <c r="J523" s="87"/>
      <c r="K523" s="87"/>
      <c r="L523" s="87">
        <v>279.20999999999998</v>
      </c>
      <c r="M523" s="82">
        <v>4.5270999999999999</v>
      </c>
      <c r="N523" s="125">
        <f>119700*M523</f>
        <v>541893.87</v>
      </c>
      <c r="O523" s="84">
        <v>42307</v>
      </c>
      <c r="P523" s="25"/>
    </row>
    <row r="524" spans="1:16" s="26" customFormat="1" ht="45" customHeight="1" x14ac:dyDescent="0.25">
      <c r="A524" s="93">
        <v>1348</v>
      </c>
      <c r="B524" s="90" t="s">
        <v>832</v>
      </c>
      <c r="C524" s="93">
        <v>2013</v>
      </c>
      <c r="D524" s="130" t="s">
        <v>29</v>
      </c>
      <c r="E524" s="90">
        <v>2015</v>
      </c>
      <c r="F524" s="90" t="s">
        <v>329</v>
      </c>
      <c r="G524" s="79">
        <f t="shared" si="32"/>
        <v>1965.244547115075</v>
      </c>
      <c r="H524" s="80" t="s">
        <v>833</v>
      </c>
      <c r="I524" s="91" t="s">
        <v>27</v>
      </c>
      <c r="J524" s="87">
        <v>398</v>
      </c>
      <c r="K524" s="87">
        <v>1851</v>
      </c>
      <c r="L524" s="87">
        <v>279.20999999999998</v>
      </c>
      <c r="M524" s="82">
        <v>4.4287000000000001</v>
      </c>
      <c r="N524" s="125">
        <f>123900*M524</f>
        <v>548715.93000000005</v>
      </c>
      <c r="O524" s="84">
        <v>42307</v>
      </c>
      <c r="P524" s="25"/>
    </row>
    <row r="525" spans="1:16" s="26" customFormat="1" ht="47.4" customHeight="1" x14ac:dyDescent="0.25">
      <c r="A525" s="93">
        <v>1349</v>
      </c>
      <c r="B525" s="90" t="s">
        <v>834</v>
      </c>
      <c r="C525" s="93">
        <v>2014</v>
      </c>
      <c r="D525" s="130" t="s">
        <v>29</v>
      </c>
      <c r="E525" s="90">
        <v>2015</v>
      </c>
      <c r="F525" s="90" t="s">
        <v>329</v>
      </c>
      <c r="G525" s="79">
        <f t="shared" si="32"/>
        <v>1921.7864331506753</v>
      </c>
      <c r="H525" s="80" t="s">
        <v>835</v>
      </c>
      <c r="I525" s="91" t="s">
        <v>27</v>
      </c>
      <c r="J525" s="87">
        <v>399</v>
      </c>
      <c r="K525" s="87">
        <v>1852</v>
      </c>
      <c r="L525" s="87">
        <v>279.20999999999998</v>
      </c>
      <c r="M525" s="82">
        <v>4.4309000000000003</v>
      </c>
      <c r="N525" s="125">
        <f>121100*M525</f>
        <v>536581.99</v>
      </c>
      <c r="O525" s="84">
        <v>42307</v>
      </c>
      <c r="P525" s="25"/>
    </row>
    <row r="526" spans="1:16" s="26" customFormat="1" ht="49.95" customHeight="1" x14ac:dyDescent="0.25">
      <c r="A526" s="93">
        <v>1350</v>
      </c>
      <c r="B526" s="90" t="s">
        <v>836</v>
      </c>
      <c r="C526" s="93">
        <v>2010</v>
      </c>
      <c r="D526" s="130" t="s">
        <v>29</v>
      </c>
      <c r="E526" s="90">
        <v>2015</v>
      </c>
      <c r="F526" s="90" t="s">
        <v>329</v>
      </c>
      <c r="G526" s="79">
        <f t="shared" si="32"/>
        <v>2524.8242899609618</v>
      </c>
      <c r="H526" s="80" t="s">
        <v>837</v>
      </c>
      <c r="I526" s="91" t="s">
        <v>27</v>
      </c>
      <c r="J526" s="87">
        <v>400</v>
      </c>
      <c r="K526" s="87">
        <v>1853</v>
      </c>
      <c r="L526" s="87">
        <v>279.20999999999998</v>
      </c>
      <c r="M526" s="82">
        <v>4.4309000000000003</v>
      </c>
      <c r="N526" s="125">
        <f>159100*M526</f>
        <v>704956.19000000006</v>
      </c>
      <c r="O526" s="84">
        <v>42307</v>
      </c>
      <c r="P526" s="25"/>
    </row>
    <row r="527" spans="1:16" s="26" customFormat="1" ht="49.95" customHeight="1" x14ac:dyDescent="0.25">
      <c r="A527" s="93">
        <v>1351</v>
      </c>
      <c r="B527" s="90" t="s">
        <v>838</v>
      </c>
      <c r="C527" s="93">
        <v>2014</v>
      </c>
      <c r="D527" s="130" t="s">
        <v>29</v>
      </c>
      <c r="E527" s="90">
        <v>2015</v>
      </c>
      <c r="F527" s="90" t="s">
        <v>329</v>
      </c>
      <c r="G527" s="79">
        <f t="shared" si="32"/>
        <v>1859.8957057411988</v>
      </c>
      <c r="H527" s="80" t="s">
        <v>839</v>
      </c>
      <c r="I527" s="91" t="s">
        <v>27</v>
      </c>
      <c r="J527" s="87">
        <v>401</v>
      </c>
      <c r="K527" s="87">
        <v>1854</v>
      </c>
      <c r="L527" s="87">
        <v>279.20999999999998</v>
      </c>
      <c r="M527" s="82">
        <v>4.4309000000000003</v>
      </c>
      <c r="N527" s="125">
        <f>117200*M527</f>
        <v>519301.48000000004</v>
      </c>
      <c r="O527" s="84">
        <v>42307</v>
      </c>
      <c r="P527" s="25"/>
    </row>
    <row r="528" spans="1:16" s="26" customFormat="1" ht="46.2" customHeight="1" x14ac:dyDescent="0.25">
      <c r="A528" s="93">
        <v>1352</v>
      </c>
      <c r="B528" s="90" t="s">
        <v>840</v>
      </c>
      <c r="C528" s="93">
        <v>2011</v>
      </c>
      <c r="D528" s="130" t="s">
        <v>29</v>
      </c>
      <c r="E528" s="90">
        <v>2015</v>
      </c>
      <c r="F528" s="90" t="s">
        <v>329</v>
      </c>
      <c r="G528" s="79">
        <f t="shared" si="32"/>
        <v>2601.5225099387558</v>
      </c>
      <c r="H528" s="80" t="s">
        <v>841</v>
      </c>
      <c r="I528" s="91" t="s">
        <v>27</v>
      </c>
      <c r="J528" s="87">
        <v>402</v>
      </c>
      <c r="K528" s="87">
        <v>1855</v>
      </c>
      <c r="L528" s="87">
        <v>279.20999999999998</v>
      </c>
      <c r="M528" s="82">
        <v>4.4344999999999999</v>
      </c>
      <c r="N528" s="125">
        <f>163800*M528</f>
        <v>726371.1</v>
      </c>
      <c r="O528" s="84">
        <v>42307</v>
      </c>
      <c r="P528" s="25"/>
    </row>
    <row r="529" spans="1:39" s="26" customFormat="1" ht="47.4" customHeight="1" x14ac:dyDescent="0.25">
      <c r="A529" s="93">
        <v>1353</v>
      </c>
      <c r="B529" s="90" t="s">
        <v>842</v>
      </c>
      <c r="C529" s="93">
        <v>2012</v>
      </c>
      <c r="D529" s="130" t="s">
        <v>29</v>
      </c>
      <c r="E529" s="90">
        <v>2015</v>
      </c>
      <c r="F529" s="90" t="s">
        <v>329</v>
      </c>
      <c r="G529" s="79">
        <f t="shared" si="32"/>
        <v>2345.1293291787547</v>
      </c>
      <c r="H529" s="80" t="s">
        <v>843</v>
      </c>
      <c r="I529" s="91" t="s">
        <v>27</v>
      </c>
      <c r="J529" s="87">
        <v>403</v>
      </c>
      <c r="K529" s="87">
        <v>1856</v>
      </c>
      <c r="L529" s="87">
        <v>279.20999999999998</v>
      </c>
      <c r="M529" s="82">
        <v>4.4302000000000001</v>
      </c>
      <c r="N529" s="125">
        <f>147800*M529</f>
        <v>654783.56000000006</v>
      </c>
      <c r="O529" s="84">
        <v>42307</v>
      </c>
      <c r="P529" s="25"/>
    </row>
    <row r="530" spans="1:39" s="26" customFormat="1" ht="46.2" customHeight="1" x14ac:dyDescent="0.25">
      <c r="A530" s="93">
        <v>1354</v>
      </c>
      <c r="B530" s="90" t="s">
        <v>844</v>
      </c>
      <c r="C530" s="93">
        <v>2010</v>
      </c>
      <c r="D530" s="130" t="s">
        <v>29</v>
      </c>
      <c r="E530" s="90">
        <v>2015</v>
      </c>
      <c r="F530" s="90" t="s">
        <v>329</v>
      </c>
      <c r="G530" s="79">
        <f t="shared" si="32"/>
        <v>1221.7472869882886</v>
      </c>
      <c r="H530" s="80" t="s">
        <v>1008</v>
      </c>
      <c r="I530" s="91" t="s">
        <v>27</v>
      </c>
      <c r="J530" s="87">
        <v>404</v>
      </c>
      <c r="K530" s="87">
        <v>1857</v>
      </c>
      <c r="L530" s="87">
        <v>279.20999999999998</v>
      </c>
      <c r="M530" s="82">
        <v>4.5301999999999998</v>
      </c>
      <c r="N530" s="125">
        <f>75300*M530</f>
        <v>341124.06</v>
      </c>
      <c r="O530" s="84">
        <v>42307</v>
      </c>
      <c r="P530" s="25"/>
    </row>
    <row r="531" spans="1:39" s="26" customFormat="1" ht="45.6" customHeight="1" x14ac:dyDescent="0.25">
      <c r="A531" s="93">
        <v>1355</v>
      </c>
      <c r="B531" s="90" t="s">
        <v>845</v>
      </c>
      <c r="C531" s="93">
        <v>2013</v>
      </c>
      <c r="D531" s="130" t="s">
        <v>29</v>
      </c>
      <c r="E531" s="90">
        <v>2015</v>
      </c>
      <c r="F531" s="90" t="s">
        <v>352</v>
      </c>
      <c r="G531" s="79">
        <v>3855</v>
      </c>
      <c r="H531" s="80" t="s">
        <v>846</v>
      </c>
      <c r="I531" s="91" t="s">
        <v>27</v>
      </c>
      <c r="J531" s="87">
        <v>405</v>
      </c>
      <c r="K531" s="87">
        <v>1858</v>
      </c>
      <c r="L531" s="87">
        <v>280.95999999999998</v>
      </c>
      <c r="M531" s="82"/>
      <c r="N531" s="125">
        <f>G531*L531</f>
        <v>1083100.7999999998</v>
      </c>
      <c r="O531" s="84">
        <v>42307</v>
      </c>
      <c r="P531" s="25"/>
    </row>
    <row r="532" spans="1:39" s="26" customFormat="1" ht="48" customHeight="1" x14ac:dyDescent="0.25">
      <c r="A532" s="93">
        <v>1356</v>
      </c>
      <c r="B532" s="90" t="s">
        <v>847</v>
      </c>
      <c r="C532" s="93">
        <v>2011</v>
      </c>
      <c r="D532" s="130" t="s">
        <v>29</v>
      </c>
      <c r="E532" s="90">
        <v>2015</v>
      </c>
      <c r="F532" s="90" t="s">
        <v>457</v>
      </c>
      <c r="G532" s="79">
        <v>3998</v>
      </c>
      <c r="H532" s="80" t="s">
        <v>231</v>
      </c>
      <c r="I532" s="91" t="s">
        <v>27</v>
      </c>
      <c r="J532" s="87">
        <v>406</v>
      </c>
      <c r="K532" s="87">
        <v>1859</v>
      </c>
      <c r="L532" s="87">
        <v>280.95999999999998</v>
      </c>
      <c r="M532" s="82"/>
      <c r="N532" s="125">
        <f>G532*L532</f>
        <v>1123278.0799999998</v>
      </c>
      <c r="O532" s="84">
        <v>42307</v>
      </c>
      <c r="P532" s="25"/>
    </row>
    <row r="533" spans="1:39" s="26" customFormat="1" ht="61.2" customHeight="1" x14ac:dyDescent="0.25">
      <c r="A533" s="93">
        <v>1357</v>
      </c>
      <c r="B533" s="90" t="s">
        <v>852</v>
      </c>
      <c r="C533" s="93">
        <v>2013</v>
      </c>
      <c r="D533" s="130" t="s">
        <v>29</v>
      </c>
      <c r="E533" s="90">
        <v>2015</v>
      </c>
      <c r="F533" s="78" t="s">
        <v>44</v>
      </c>
      <c r="G533" s="79">
        <v>4000</v>
      </c>
      <c r="H533" s="80" t="s">
        <v>95</v>
      </c>
      <c r="I533" s="91" t="s">
        <v>27</v>
      </c>
      <c r="J533" s="87">
        <v>407</v>
      </c>
      <c r="K533" s="87">
        <v>1860</v>
      </c>
      <c r="L533" s="87">
        <v>241.95</v>
      </c>
      <c r="M533" s="82"/>
      <c r="N533" s="125">
        <f>G533*L533</f>
        <v>967800</v>
      </c>
      <c r="O533" s="84">
        <v>42307</v>
      </c>
      <c r="P533" s="25"/>
    </row>
    <row r="534" spans="1:39" s="26" customFormat="1" ht="60" customHeight="1" x14ac:dyDescent="0.25">
      <c r="A534" s="93">
        <v>1358</v>
      </c>
      <c r="B534" s="90" t="s">
        <v>853</v>
      </c>
      <c r="C534" s="93">
        <v>2010</v>
      </c>
      <c r="D534" s="130" t="s">
        <v>29</v>
      </c>
      <c r="E534" s="90">
        <v>2015</v>
      </c>
      <c r="F534" s="90" t="s">
        <v>238</v>
      </c>
      <c r="G534" s="79">
        <f>N534/L534</f>
        <v>3853.4197454669279</v>
      </c>
      <c r="H534" s="80" t="s">
        <v>1041</v>
      </c>
      <c r="I534" s="91" t="s">
        <v>27</v>
      </c>
      <c r="J534" s="87">
        <v>408</v>
      </c>
      <c r="K534" s="87">
        <v>1861</v>
      </c>
      <c r="L534" s="87">
        <v>234.94</v>
      </c>
      <c r="M534" s="82">
        <v>273.47000000000003</v>
      </c>
      <c r="N534" s="125">
        <f>3310.5*M534</f>
        <v>905322.43500000006</v>
      </c>
      <c r="O534" s="84">
        <v>42307</v>
      </c>
      <c r="P534" s="25"/>
    </row>
    <row r="535" spans="1:39" s="26" customFormat="1" ht="35.4" customHeight="1" x14ac:dyDescent="0.25">
      <c r="A535" s="93">
        <v>1359</v>
      </c>
      <c r="B535" s="90" t="s">
        <v>854</v>
      </c>
      <c r="C535" s="93">
        <v>2004</v>
      </c>
      <c r="D535" s="130" t="s">
        <v>29</v>
      </c>
      <c r="E535" s="90">
        <v>2015</v>
      </c>
      <c r="F535" s="90" t="s">
        <v>530</v>
      </c>
      <c r="G535" s="79">
        <f>N535/L535</f>
        <v>1252.1127266199965</v>
      </c>
      <c r="H535" s="80" t="s">
        <v>855</v>
      </c>
      <c r="I535" s="91" t="s">
        <v>27</v>
      </c>
      <c r="J535" s="87">
        <v>409</v>
      </c>
      <c r="K535" s="87">
        <v>1862</v>
      </c>
      <c r="L535" s="87">
        <v>278.55</v>
      </c>
      <c r="M535" s="82"/>
      <c r="N535" s="125">
        <v>348776</v>
      </c>
      <c r="O535" s="84">
        <v>42307</v>
      </c>
      <c r="P535" s="25"/>
    </row>
    <row r="536" spans="1:39" s="26" customFormat="1" ht="36" customHeight="1" x14ac:dyDescent="0.25">
      <c r="A536" s="93">
        <v>1360</v>
      </c>
      <c r="B536" s="90" t="s">
        <v>856</v>
      </c>
      <c r="C536" s="93">
        <v>2002</v>
      </c>
      <c r="D536" s="130" t="s">
        <v>29</v>
      </c>
      <c r="E536" s="90">
        <v>2015</v>
      </c>
      <c r="F536" s="90" t="s">
        <v>530</v>
      </c>
      <c r="G536" s="79">
        <f>N536/L536</f>
        <v>1013.0138215760186</v>
      </c>
      <c r="H536" s="80" t="s">
        <v>1069</v>
      </c>
      <c r="I536" s="91" t="s">
        <v>27</v>
      </c>
      <c r="J536" s="87">
        <v>410</v>
      </c>
      <c r="K536" s="87">
        <v>1863</v>
      </c>
      <c r="L536" s="87">
        <v>278.55</v>
      </c>
      <c r="M536" s="82"/>
      <c r="N536" s="125">
        <v>282175</v>
      </c>
      <c r="O536" s="84">
        <v>42307</v>
      </c>
      <c r="P536" s="25"/>
    </row>
    <row r="537" spans="1:39" s="24" customFormat="1" ht="48.6" customHeight="1" x14ac:dyDescent="0.25">
      <c r="A537" s="93">
        <v>1361</v>
      </c>
      <c r="B537" s="90" t="s">
        <v>1121</v>
      </c>
      <c r="C537" s="93">
        <v>2011</v>
      </c>
      <c r="D537" s="130" t="s">
        <v>29</v>
      </c>
      <c r="E537" s="90">
        <v>2015</v>
      </c>
      <c r="F537" s="90" t="s">
        <v>352</v>
      </c>
      <c r="G537" s="79">
        <v>3956</v>
      </c>
      <c r="H537" s="80" t="s">
        <v>431</v>
      </c>
      <c r="I537" s="91" t="s">
        <v>27</v>
      </c>
      <c r="J537" s="87">
        <v>411</v>
      </c>
      <c r="K537" s="87">
        <v>1864</v>
      </c>
      <c r="L537" s="87">
        <v>279.18</v>
      </c>
      <c r="M537" s="82"/>
      <c r="N537" s="125">
        <f>G537*L537</f>
        <v>1104436.08</v>
      </c>
      <c r="O537" s="84">
        <v>42310</v>
      </c>
      <c r="P537" s="25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</row>
    <row r="538" spans="1:39" s="26" customFormat="1" ht="156" customHeight="1" x14ac:dyDescent="0.25">
      <c r="A538" s="93"/>
      <c r="B538" s="90" t="s">
        <v>824</v>
      </c>
      <c r="C538" s="93">
        <v>2011</v>
      </c>
      <c r="D538" s="113" t="s">
        <v>825</v>
      </c>
      <c r="E538" s="90" t="s">
        <v>197</v>
      </c>
      <c r="F538" s="90" t="s">
        <v>826</v>
      </c>
      <c r="G538" s="79">
        <f>N538/L538</f>
        <v>1693.9161383336916</v>
      </c>
      <c r="H538" s="80" t="s">
        <v>994</v>
      </c>
      <c r="I538" s="91" t="s">
        <v>132</v>
      </c>
      <c r="J538" s="87"/>
      <c r="K538" s="87"/>
      <c r="L538" s="87">
        <v>279.18</v>
      </c>
      <c r="M538" s="82">
        <v>4.4465000000000003</v>
      </c>
      <c r="N538" s="125">
        <f>106355*M538</f>
        <v>472907.50750000007</v>
      </c>
      <c r="O538" s="84">
        <v>42310</v>
      </c>
      <c r="P538" s="25"/>
    </row>
    <row r="539" spans="1:39" s="26" customFormat="1" ht="71.400000000000006" customHeight="1" x14ac:dyDescent="0.25">
      <c r="A539" s="93"/>
      <c r="B539" s="90" t="s">
        <v>643</v>
      </c>
      <c r="C539" s="93">
        <v>1999</v>
      </c>
      <c r="D539" s="113" t="s">
        <v>644</v>
      </c>
      <c r="E539" s="90" t="s">
        <v>197</v>
      </c>
      <c r="F539" s="78" t="s">
        <v>91</v>
      </c>
      <c r="G539" s="79">
        <v>2600</v>
      </c>
      <c r="H539" s="80" t="s">
        <v>1058</v>
      </c>
      <c r="I539" s="91" t="s">
        <v>132</v>
      </c>
      <c r="J539" s="87"/>
      <c r="K539" s="87"/>
      <c r="L539" s="87">
        <v>243.15</v>
      </c>
      <c r="M539" s="82"/>
      <c r="N539" s="125">
        <f>G539*L539</f>
        <v>632190</v>
      </c>
      <c r="O539" s="84">
        <v>42311</v>
      </c>
      <c r="P539" s="25"/>
    </row>
    <row r="540" spans="1:39" s="26" customFormat="1" ht="45" customHeight="1" x14ac:dyDescent="0.25">
      <c r="A540" s="93">
        <v>1362</v>
      </c>
      <c r="B540" s="90" t="s">
        <v>857</v>
      </c>
      <c r="C540" s="93">
        <v>2012</v>
      </c>
      <c r="D540" s="121" t="s">
        <v>29</v>
      </c>
      <c r="E540" s="90">
        <v>2015</v>
      </c>
      <c r="F540" s="90" t="s">
        <v>823</v>
      </c>
      <c r="G540" s="79">
        <v>3000</v>
      </c>
      <c r="H540" s="80" t="s">
        <v>81</v>
      </c>
      <c r="I540" s="91" t="s">
        <v>27</v>
      </c>
      <c r="J540" s="87">
        <v>412</v>
      </c>
      <c r="K540" s="87">
        <v>1865</v>
      </c>
      <c r="L540" s="87">
        <v>283.61</v>
      </c>
      <c r="M540" s="82"/>
      <c r="N540" s="125">
        <f>G540*L540</f>
        <v>850830</v>
      </c>
      <c r="O540" s="84">
        <v>42311</v>
      </c>
      <c r="P540" s="25"/>
    </row>
    <row r="541" spans="1:39" s="26" customFormat="1" ht="72" customHeight="1" x14ac:dyDescent="0.25">
      <c r="A541" s="93">
        <v>1363</v>
      </c>
      <c r="B541" s="90" t="s">
        <v>858</v>
      </c>
      <c r="C541" s="93">
        <v>2013</v>
      </c>
      <c r="D541" s="121" t="s">
        <v>29</v>
      </c>
      <c r="E541" s="90">
        <v>2015</v>
      </c>
      <c r="F541" s="90" t="s">
        <v>859</v>
      </c>
      <c r="G541" s="79">
        <f>N541/L541</f>
        <v>1249.199272390056</v>
      </c>
      <c r="H541" s="80" t="s">
        <v>1067</v>
      </c>
      <c r="I541" s="91" t="s">
        <v>27</v>
      </c>
      <c r="J541" s="87">
        <v>413</v>
      </c>
      <c r="K541" s="87">
        <v>1866</v>
      </c>
      <c r="L541" s="87">
        <v>280.37</v>
      </c>
      <c r="M541" s="82"/>
      <c r="N541" s="125">
        <v>350238</v>
      </c>
      <c r="O541" s="84">
        <v>42311</v>
      </c>
      <c r="P541" s="25"/>
    </row>
    <row r="542" spans="1:39" s="26" customFormat="1" ht="33.6" customHeight="1" x14ac:dyDescent="0.25">
      <c r="A542" s="93">
        <v>1364</v>
      </c>
      <c r="B542" s="90" t="s">
        <v>860</v>
      </c>
      <c r="C542" s="93">
        <v>2013</v>
      </c>
      <c r="D542" s="121" t="s">
        <v>29</v>
      </c>
      <c r="E542" s="90">
        <v>2015</v>
      </c>
      <c r="F542" s="90" t="s">
        <v>530</v>
      </c>
      <c r="G542" s="79">
        <f>N542/L542</f>
        <v>911.29320716678058</v>
      </c>
      <c r="H542" s="80" t="s">
        <v>1068</v>
      </c>
      <c r="I542" s="91" t="s">
        <v>27</v>
      </c>
      <c r="J542" s="87">
        <v>414</v>
      </c>
      <c r="K542" s="87">
        <v>1867</v>
      </c>
      <c r="L542" s="87">
        <v>307.52999999999997</v>
      </c>
      <c r="M542" s="82"/>
      <c r="N542" s="125">
        <v>280250</v>
      </c>
      <c r="O542" s="84">
        <v>42317</v>
      </c>
      <c r="P542" s="25"/>
    </row>
    <row r="543" spans="1:39" s="26" customFormat="1" ht="44.4" customHeight="1" x14ac:dyDescent="0.25">
      <c r="A543" s="93">
        <v>1365</v>
      </c>
      <c r="B543" s="90" t="s">
        <v>861</v>
      </c>
      <c r="C543" s="93">
        <v>2013</v>
      </c>
      <c r="D543" s="121" t="s">
        <v>29</v>
      </c>
      <c r="E543" s="90">
        <v>2015</v>
      </c>
      <c r="F543" s="78" t="s">
        <v>105</v>
      </c>
      <c r="G543" s="79">
        <f>N543/L543</f>
        <v>2213.2058823529414</v>
      </c>
      <c r="H543" s="80" t="s">
        <v>862</v>
      </c>
      <c r="I543" s="91" t="s">
        <v>27</v>
      </c>
      <c r="J543" s="87">
        <v>415</v>
      </c>
      <c r="K543" s="87">
        <v>1868</v>
      </c>
      <c r="L543" s="87">
        <v>307.52999999999997</v>
      </c>
      <c r="M543" s="82">
        <v>4.8842999999999996</v>
      </c>
      <c r="N543" s="125">
        <f>139350*M543</f>
        <v>680627.20499999996</v>
      </c>
      <c r="O543" s="84">
        <v>42317</v>
      </c>
      <c r="P543" s="25"/>
    </row>
    <row r="544" spans="1:39" s="26" customFormat="1" ht="45" customHeight="1" x14ac:dyDescent="0.25">
      <c r="A544" s="93">
        <v>1366</v>
      </c>
      <c r="B544" s="90" t="s">
        <v>863</v>
      </c>
      <c r="C544" s="93">
        <v>2014</v>
      </c>
      <c r="D544" s="121" t="s">
        <v>29</v>
      </c>
      <c r="E544" s="90">
        <v>2015</v>
      </c>
      <c r="F544" s="90" t="s">
        <v>329</v>
      </c>
      <c r="G544" s="79">
        <f>N544/L544</f>
        <v>557.47058823529414</v>
      </c>
      <c r="H544" s="80" t="s">
        <v>1007</v>
      </c>
      <c r="I544" s="91" t="s">
        <v>27</v>
      </c>
      <c r="J544" s="87">
        <v>416</v>
      </c>
      <c r="K544" s="87">
        <v>1869</v>
      </c>
      <c r="L544" s="87">
        <v>307.52999999999997</v>
      </c>
      <c r="M544" s="82">
        <v>4.8842999999999996</v>
      </c>
      <c r="N544" s="125">
        <f>35100*M544</f>
        <v>171438.93</v>
      </c>
      <c r="O544" s="84">
        <v>42317</v>
      </c>
      <c r="P544" s="25"/>
    </row>
    <row r="545" spans="1:84" s="26" customFormat="1" ht="46.2" customHeight="1" x14ac:dyDescent="0.25">
      <c r="A545" s="93">
        <v>1367</v>
      </c>
      <c r="B545" s="90" t="s">
        <v>864</v>
      </c>
      <c r="C545" s="93">
        <v>2010</v>
      </c>
      <c r="D545" s="121" t="s">
        <v>29</v>
      </c>
      <c r="E545" s="90">
        <v>2015</v>
      </c>
      <c r="F545" s="90" t="s">
        <v>329</v>
      </c>
      <c r="G545" s="79">
        <f>N545/L545</f>
        <v>2464.1256462784122</v>
      </c>
      <c r="H545" s="80" t="s">
        <v>865</v>
      </c>
      <c r="I545" s="91" t="s">
        <v>27</v>
      </c>
      <c r="J545" s="87">
        <v>417</v>
      </c>
      <c r="K545" s="87">
        <v>1870</v>
      </c>
      <c r="L545" s="87">
        <v>307.52999999999997</v>
      </c>
      <c r="M545" s="82">
        <v>4.8764000000000003</v>
      </c>
      <c r="N545" s="125">
        <f>155400*M545</f>
        <v>757792.56</v>
      </c>
      <c r="O545" s="84">
        <v>42317</v>
      </c>
      <c r="P545" s="25"/>
    </row>
    <row r="546" spans="1:84" ht="41.4" customHeight="1" x14ac:dyDescent="0.25">
      <c r="A546" s="77">
        <v>1368</v>
      </c>
      <c r="B546" s="78" t="s">
        <v>850</v>
      </c>
      <c r="C546" s="78">
        <v>2012</v>
      </c>
      <c r="D546" s="112" t="s">
        <v>29</v>
      </c>
      <c r="E546" s="90">
        <v>2015</v>
      </c>
      <c r="F546" s="78" t="s">
        <v>439</v>
      </c>
      <c r="G546" s="80">
        <v>3992</v>
      </c>
      <c r="H546" s="80" t="s">
        <v>851</v>
      </c>
      <c r="I546" s="85" t="s">
        <v>27</v>
      </c>
      <c r="J546" s="81">
        <v>418</v>
      </c>
      <c r="K546" s="81">
        <v>1871</v>
      </c>
      <c r="L546" s="131" t="s">
        <v>866</v>
      </c>
      <c r="M546" s="132"/>
      <c r="N546" s="133">
        <f>G546*L546</f>
        <v>1234845.3599999999</v>
      </c>
      <c r="O546" s="84">
        <v>42317</v>
      </c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</row>
    <row r="547" spans="1:84" ht="36" customHeight="1" x14ac:dyDescent="0.25">
      <c r="A547" s="93"/>
      <c r="B547" s="90" t="s">
        <v>130</v>
      </c>
      <c r="C547" s="90">
        <v>2009</v>
      </c>
      <c r="D547" s="112" t="s">
        <v>29</v>
      </c>
      <c r="E547" s="90" t="s">
        <v>181</v>
      </c>
      <c r="F547" s="90" t="s">
        <v>530</v>
      </c>
      <c r="G547" s="80">
        <f>N547/L547</f>
        <v>652.81110785939586</v>
      </c>
      <c r="H547" s="80" t="s">
        <v>1118</v>
      </c>
      <c r="I547" s="91" t="s">
        <v>27</v>
      </c>
      <c r="J547" s="87">
        <v>419</v>
      </c>
      <c r="K547" s="87">
        <v>1872</v>
      </c>
      <c r="L547" s="134" t="s">
        <v>1119</v>
      </c>
      <c r="M547" s="132"/>
      <c r="N547" s="133">
        <v>200759</v>
      </c>
      <c r="O547" s="84">
        <v>42317</v>
      </c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</row>
    <row r="548" spans="1:84" ht="45.6" customHeight="1" x14ac:dyDescent="0.25">
      <c r="A548" s="93">
        <v>1369</v>
      </c>
      <c r="B548" s="90" t="s">
        <v>867</v>
      </c>
      <c r="C548" s="90">
        <v>2013</v>
      </c>
      <c r="D548" s="112" t="s">
        <v>29</v>
      </c>
      <c r="E548" s="90">
        <v>2015</v>
      </c>
      <c r="F548" s="90" t="s">
        <v>329</v>
      </c>
      <c r="G548" s="80">
        <f t="shared" ref="G548:G557" si="33">N548/L548</f>
        <v>2019.193155285463</v>
      </c>
      <c r="H548" s="80" t="s">
        <v>868</v>
      </c>
      <c r="I548" s="91" t="s">
        <v>27</v>
      </c>
      <c r="J548" s="87">
        <v>420</v>
      </c>
      <c r="K548" s="87">
        <v>1873</v>
      </c>
      <c r="L548" s="134" t="s">
        <v>869</v>
      </c>
      <c r="M548" s="132" t="s">
        <v>870</v>
      </c>
      <c r="N548" s="133">
        <f>130200*M548</f>
        <v>631300.74</v>
      </c>
      <c r="O548" s="84">
        <v>42318</v>
      </c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</row>
    <row r="549" spans="1:84" ht="49.2" customHeight="1" x14ac:dyDescent="0.25">
      <c r="A549" s="93">
        <v>1370</v>
      </c>
      <c r="B549" s="90" t="s">
        <v>871</v>
      </c>
      <c r="C549" s="90">
        <v>2010</v>
      </c>
      <c r="D549" s="112" t="s">
        <v>29</v>
      </c>
      <c r="E549" s="90">
        <v>2015</v>
      </c>
      <c r="F549" s="78" t="s">
        <v>105</v>
      </c>
      <c r="G549" s="80">
        <f t="shared" si="33"/>
        <v>2308.948440748441</v>
      </c>
      <c r="H549" s="80" t="s">
        <v>872</v>
      </c>
      <c r="I549" s="91" t="s">
        <v>27</v>
      </c>
      <c r="J549" s="87">
        <v>421</v>
      </c>
      <c r="K549" s="87">
        <v>1874</v>
      </c>
      <c r="L549" s="134" t="s">
        <v>869</v>
      </c>
      <c r="M549" s="132" t="s">
        <v>873</v>
      </c>
      <c r="N549" s="133">
        <f>148850*M549</f>
        <v>721892.73</v>
      </c>
      <c r="O549" s="84">
        <v>42318</v>
      </c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</row>
    <row r="550" spans="1:84" ht="44.4" customHeight="1" x14ac:dyDescent="0.25">
      <c r="A550" s="93">
        <v>1371</v>
      </c>
      <c r="B550" s="90" t="s">
        <v>874</v>
      </c>
      <c r="C550" s="90">
        <v>2013</v>
      </c>
      <c r="D550" s="112" t="s">
        <v>29</v>
      </c>
      <c r="E550" s="90">
        <v>2015</v>
      </c>
      <c r="F550" s="78" t="s">
        <v>105</v>
      </c>
      <c r="G550" s="80">
        <f t="shared" si="33"/>
        <v>2069.9639213177675</v>
      </c>
      <c r="H550" s="80" t="s">
        <v>875</v>
      </c>
      <c r="I550" s="91" t="s">
        <v>27</v>
      </c>
      <c r="J550" s="87">
        <v>422</v>
      </c>
      <c r="K550" s="87">
        <v>1875</v>
      </c>
      <c r="L550" s="134" t="s">
        <v>869</v>
      </c>
      <c r="M550" s="132" t="s">
        <v>876</v>
      </c>
      <c r="N550" s="133">
        <f>133350*M550</f>
        <v>647174.22</v>
      </c>
      <c r="O550" s="84">
        <v>42318</v>
      </c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</row>
    <row r="551" spans="1:84" ht="119.4" customHeight="1" x14ac:dyDescent="0.25">
      <c r="A551" s="93">
        <v>1372</v>
      </c>
      <c r="B551" s="90" t="s">
        <v>877</v>
      </c>
      <c r="C551" s="90">
        <v>2013</v>
      </c>
      <c r="D551" s="113" t="s">
        <v>878</v>
      </c>
      <c r="E551" s="90">
        <v>2015</v>
      </c>
      <c r="F551" s="90" t="s">
        <v>879</v>
      </c>
      <c r="G551" s="80">
        <f t="shared" si="33"/>
        <v>1544.9796537784441</v>
      </c>
      <c r="H551" s="80" t="s">
        <v>1024</v>
      </c>
      <c r="I551" s="91" t="s">
        <v>1136</v>
      </c>
      <c r="J551" s="87">
        <v>423</v>
      </c>
      <c r="K551" s="87">
        <v>1876</v>
      </c>
      <c r="L551" s="134" t="s">
        <v>880</v>
      </c>
      <c r="M551" s="132" t="s">
        <v>881</v>
      </c>
      <c r="N551" s="133">
        <f>95390*M551</f>
        <v>473907.05899999995</v>
      </c>
      <c r="O551" s="84">
        <v>42319</v>
      </c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</row>
    <row r="552" spans="1:84" ht="122.4" customHeight="1" x14ac:dyDescent="0.25">
      <c r="A552" s="93">
        <v>1373</v>
      </c>
      <c r="B552" s="90" t="s">
        <v>882</v>
      </c>
      <c r="C552" s="90">
        <v>2012</v>
      </c>
      <c r="D552" s="128" t="s">
        <v>753</v>
      </c>
      <c r="E552" s="90">
        <v>2015</v>
      </c>
      <c r="F552" s="90" t="s">
        <v>879</v>
      </c>
      <c r="G552" s="80">
        <f t="shared" si="33"/>
        <v>1488.6215948360175</v>
      </c>
      <c r="H552" s="80" t="s">
        <v>1023</v>
      </c>
      <c r="I552" s="91" t="s">
        <v>1137</v>
      </c>
      <c r="J552" s="87">
        <v>424</v>
      </c>
      <c r="K552" s="87">
        <v>1877</v>
      </c>
      <c r="L552" s="134" t="s">
        <v>880</v>
      </c>
      <c r="M552" s="132" t="s">
        <v>883</v>
      </c>
      <c r="N552" s="133">
        <f>91890*M552</f>
        <v>456619.788</v>
      </c>
      <c r="O552" s="84">
        <v>42319</v>
      </c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</row>
    <row r="553" spans="1:84" ht="37.200000000000003" customHeight="1" x14ac:dyDescent="0.25">
      <c r="A553" s="93"/>
      <c r="B553" s="90" t="s">
        <v>418</v>
      </c>
      <c r="C553" s="90">
        <v>2006</v>
      </c>
      <c r="D553" s="130" t="s">
        <v>29</v>
      </c>
      <c r="E553" s="90" t="s">
        <v>197</v>
      </c>
      <c r="F553" s="78" t="s">
        <v>105</v>
      </c>
      <c r="G553" s="80">
        <f t="shared" si="33"/>
        <v>730.69455434251256</v>
      </c>
      <c r="H553" s="80" t="s">
        <v>884</v>
      </c>
      <c r="I553" s="91" t="s">
        <v>27</v>
      </c>
      <c r="J553" s="87"/>
      <c r="K553" s="87"/>
      <c r="L553" s="134" t="s">
        <v>885</v>
      </c>
      <c r="M553" s="132" t="s">
        <v>886</v>
      </c>
      <c r="N553" s="133">
        <f>45040*M553</f>
        <v>224213.62400000001</v>
      </c>
      <c r="O553" s="84">
        <v>42320</v>
      </c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</row>
    <row r="554" spans="1:84" ht="49.2" customHeight="1" x14ac:dyDescent="0.25">
      <c r="A554" s="93">
        <v>1374</v>
      </c>
      <c r="B554" s="90" t="s">
        <v>887</v>
      </c>
      <c r="C554" s="90">
        <v>2010</v>
      </c>
      <c r="D554" s="130" t="s">
        <v>29</v>
      </c>
      <c r="E554" s="90">
        <v>2015</v>
      </c>
      <c r="F554" s="90" t="s">
        <v>329</v>
      </c>
      <c r="G554" s="80">
        <f t="shared" si="33"/>
        <v>2373.5709630112433</v>
      </c>
      <c r="H554" s="80" t="s">
        <v>1006</v>
      </c>
      <c r="I554" s="91" t="s">
        <v>27</v>
      </c>
      <c r="J554" s="87">
        <v>425</v>
      </c>
      <c r="K554" s="87">
        <v>1878</v>
      </c>
      <c r="L554" s="134" t="s">
        <v>885</v>
      </c>
      <c r="M554" s="132" t="s">
        <v>888</v>
      </c>
      <c r="N554" s="133">
        <f>152850*M554</f>
        <v>728330.25</v>
      </c>
      <c r="O554" s="84">
        <v>42320</v>
      </c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</row>
    <row r="555" spans="1:84" s="71" customFormat="1" ht="73.95" customHeight="1" x14ac:dyDescent="0.25">
      <c r="A555" s="93"/>
      <c r="B555" s="90" t="s">
        <v>21</v>
      </c>
      <c r="C555" s="90">
        <v>2005</v>
      </c>
      <c r="D555" s="78" t="s">
        <v>22</v>
      </c>
      <c r="E555" s="90" t="s">
        <v>911</v>
      </c>
      <c r="F555" s="90" t="s">
        <v>385</v>
      </c>
      <c r="G555" s="80">
        <f t="shared" si="33"/>
        <v>1316.5402248655694</v>
      </c>
      <c r="H555" s="80" t="s">
        <v>889</v>
      </c>
      <c r="I555" s="85" t="s">
        <v>531</v>
      </c>
      <c r="J555" s="87">
        <v>426</v>
      </c>
      <c r="K555" s="87">
        <v>1879</v>
      </c>
      <c r="L555" s="134" t="s">
        <v>885</v>
      </c>
      <c r="M555" s="132" t="s">
        <v>876</v>
      </c>
      <c r="N555" s="133">
        <f>83240*M555</f>
        <v>403980.36800000002</v>
      </c>
      <c r="O555" s="84">
        <v>42320</v>
      </c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</row>
    <row r="556" spans="1:84" ht="45.6" customHeight="1" x14ac:dyDescent="0.25">
      <c r="A556" s="93">
        <v>1375</v>
      </c>
      <c r="B556" s="90" t="s">
        <v>890</v>
      </c>
      <c r="C556" s="90">
        <v>2012</v>
      </c>
      <c r="D556" s="130" t="s">
        <v>29</v>
      </c>
      <c r="E556" s="90">
        <v>2015</v>
      </c>
      <c r="F556" s="90" t="s">
        <v>329</v>
      </c>
      <c r="G556" s="80">
        <f t="shared" si="33"/>
        <v>2123.6334124069804</v>
      </c>
      <c r="H556" s="80" t="s">
        <v>891</v>
      </c>
      <c r="I556" s="91" t="s">
        <v>27</v>
      </c>
      <c r="J556" s="87">
        <v>427</v>
      </c>
      <c r="K556" s="87">
        <v>1880</v>
      </c>
      <c r="L556" s="134" t="s">
        <v>892</v>
      </c>
      <c r="M556" s="132" t="s">
        <v>893</v>
      </c>
      <c r="N556" s="133">
        <f>139100*M556</f>
        <v>653505.71000000008</v>
      </c>
      <c r="O556" s="84">
        <v>42324</v>
      </c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</row>
    <row r="557" spans="1:84" ht="47.4" customHeight="1" x14ac:dyDescent="0.25">
      <c r="A557" s="93">
        <v>1376</v>
      </c>
      <c r="B557" s="90" t="s">
        <v>894</v>
      </c>
      <c r="C557" s="90">
        <v>2013</v>
      </c>
      <c r="D557" s="130" t="s">
        <v>29</v>
      </c>
      <c r="E557" s="90">
        <v>2015</v>
      </c>
      <c r="F557" s="90" t="s">
        <v>329</v>
      </c>
      <c r="G557" s="80">
        <f t="shared" si="33"/>
        <v>2123.6088779124552</v>
      </c>
      <c r="H557" s="80" t="s">
        <v>895</v>
      </c>
      <c r="I557" s="91" t="s">
        <v>27</v>
      </c>
      <c r="J557" s="87">
        <v>428</v>
      </c>
      <c r="K557" s="87">
        <v>1881</v>
      </c>
      <c r="L557" s="134" t="s">
        <v>892</v>
      </c>
      <c r="M557" s="132" t="s">
        <v>896</v>
      </c>
      <c r="N557" s="133">
        <f>138800*M557</f>
        <v>653498.15999999992</v>
      </c>
      <c r="O557" s="84">
        <v>42324</v>
      </c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</row>
    <row r="558" spans="1:84" ht="48.6" customHeight="1" x14ac:dyDescent="0.25">
      <c r="A558" s="77">
        <v>1377</v>
      </c>
      <c r="B558" s="78" t="s">
        <v>849</v>
      </c>
      <c r="C558" s="78">
        <v>2009</v>
      </c>
      <c r="D558" s="112" t="s">
        <v>29</v>
      </c>
      <c r="E558" s="90">
        <v>2015</v>
      </c>
      <c r="F558" s="78" t="s">
        <v>457</v>
      </c>
      <c r="G558" s="80">
        <v>3998</v>
      </c>
      <c r="H558" s="80" t="s">
        <v>231</v>
      </c>
      <c r="I558" s="85" t="s">
        <v>132</v>
      </c>
      <c r="J558" s="81">
        <v>429</v>
      </c>
      <c r="K558" s="81">
        <v>1882</v>
      </c>
      <c r="L558" s="131" t="s">
        <v>897</v>
      </c>
      <c r="M558" s="132"/>
      <c r="N558" s="133">
        <f>G558*L558</f>
        <v>972113.70000000007</v>
      </c>
      <c r="O558" s="84">
        <v>42325</v>
      </c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</row>
    <row r="559" spans="1:84" ht="48" customHeight="1" x14ac:dyDescent="0.25">
      <c r="A559" s="77">
        <v>1378</v>
      </c>
      <c r="B559" s="78" t="s">
        <v>848</v>
      </c>
      <c r="C559" s="78">
        <v>2012</v>
      </c>
      <c r="D559" s="112" t="s">
        <v>29</v>
      </c>
      <c r="E559" s="90">
        <v>2015</v>
      </c>
      <c r="F559" s="90" t="s">
        <v>457</v>
      </c>
      <c r="G559" s="80">
        <v>3998</v>
      </c>
      <c r="H559" s="80" t="s">
        <v>231</v>
      </c>
      <c r="I559" s="91" t="s">
        <v>132</v>
      </c>
      <c r="J559" s="81">
        <v>430</v>
      </c>
      <c r="K559" s="81">
        <v>1883</v>
      </c>
      <c r="L559" s="134" t="s">
        <v>897</v>
      </c>
      <c r="M559" s="132"/>
      <c r="N559" s="133">
        <f>G559*L559</f>
        <v>972113.70000000007</v>
      </c>
      <c r="O559" s="84">
        <v>42325</v>
      </c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</row>
    <row r="560" spans="1:84" ht="48.6" customHeight="1" x14ac:dyDescent="0.25">
      <c r="A560" s="77">
        <v>1379</v>
      </c>
      <c r="B560" s="78" t="s">
        <v>898</v>
      </c>
      <c r="C560" s="78">
        <v>2010</v>
      </c>
      <c r="D560" s="112" t="s">
        <v>29</v>
      </c>
      <c r="E560" s="78">
        <v>2015</v>
      </c>
      <c r="F560" s="78" t="s">
        <v>105</v>
      </c>
      <c r="G560" s="80">
        <f>N560/L560</f>
        <v>2303.6682449085483</v>
      </c>
      <c r="H560" s="80" t="s">
        <v>623</v>
      </c>
      <c r="I560" s="85" t="s">
        <v>132</v>
      </c>
      <c r="J560" s="81">
        <v>431</v>
      </c>
      <c r="K560" s="81">
        <v>1884</v>
      </c>
      <c r="L560" s="131" t="s">
        <v>899</v>
      </c>
      <c r="M560" s="132" t="s">
        <v>900</v>
      </c>
      <c r="N560" s="133">
        <f>148350*M560</f>
        <v>710359.14</v>
      </c>
      <c r="O560" s="84">
        <v>42325</v>
      </c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</row>
    <row r="561" spans="1:84" ht="84.6" customHeight="1" x14ac:dyDescent="0.25">
      <c r="A561" s="173"/>
      <c r="B561" s="175" t="s">
        <v>441</v>
      </c>
      <c r="C561" s="175">
        <v>2012</v>
      </c>
      <c r="D561" s="184" t="s">
        <v>442</v>
      </c>
      <c r="E561" s="175" t="s">
        <v>449</v>
      </c>
      <c r="F561" s="175" t="s">
        <v>102</v>
      </c>
      <c r="G561" s="80">
        <v>9000</v>
      </c>
      <c r="H561" s="80" t="s">
        <v>47</v>
      </c>
      <c r="I561" s="161" t="s">
        <v>132</v>
      </c>
      <c r="J561" s="157">
        <v>432</v>
      </c>
      <c r="K561" s="157">
        <v>1885</v>
      </c>
      <c r="L561" s="131" t="s">
        <v>897</v>
      </c>
      <c r="M561" s="132"/>
      <c r="N561" s="133">
        <f>G561*L561</f>
        <v>2188350</v>
      </c>
      <c r="O561" s="84">
        <v>42325</v>
      </c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</row>
    <row r="562" spans="1:84" ht="32.4" customHeight="1" x14ac:dyDescent="0.25">
      <c r="A562" s="174"/>
      <c r="B562" s="176"/>
      <c r="C562" s="176"/>
      <c r="D562" s="178"/>
      <c r="E562" s="176"/>
      <c r="F562" s="176"/>
      <c r="G562" s="80">
        <v>3800</v>
      </c>
      <c r="H562" s="80" t="s">
        <v>41</v>
      </c>
      <c r="I562" s="162"/>
      <c r="J562" s="158"/>
      <c r="K562" s="158"/>
      <c r="L562" s="131" t="s">
        <v>897</v>
      </c>
      <c r="M562" s="132"/>
      <c r="N562" s="133">
        <f>G562*L562</f>
        <v>923970</v>
      </c>
      <c r="O562" s="84">
        <v>42326</v>
      </c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</row>
    <row r="563" spans="1:84" ht="37.200000000000003" customHeight="1" x14ac:dyDescent="0.25">
      <c r="A563" s="77">
        <v>1380</v>
      </c>
      <c r="B563" s="78" t="s">
        <v>901</v>
      </c>
      <c r="C563" s="78">
        <v>2012</v>
      </c>
      <c r="D563" s="111" t="s">
        <v>29</v>
      </c>
      <c r="E563" s="78">
        <v>2015</v>
      </c>
      <c r="F563" s="78" t="s">
        <v>902</v>
      </c>
      <c r="G563" s="80">
        <f>N563/L563</f>
        <v>565.7516575663027</v>
      </c>
      <c r="H563" s="80" t="s">
        <v>1073</v>
      </c>
      <c r="I563" s="85" t="s">
        <v>27</v>
      </c>
      <c r="J563" s="81">
        <v>433</v>
      </c>
      <c r="K563" s="81">
        <v>1886</v>
      </c>
      <c r="L563" s="131" t="s">
        <v>903</v>
      </c>
      <c r="M563" s="132" t="s">
        <v>904</v>
      </c>
      <c r="N563" s="133">
        <f>35350*M563</f>
        <v>174070.47</v>
      </c>
      <c r="O563" s="84">
        <v>42327</v>
      </c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</row>
    <row r="564" spans="1:84" ht="47.4" customHeight="1" x14ac:dyDescent="0.25">
      <c r="A564" s="77">
        <v>1381</v>
      </c>
      <c r="B564" s="78" t="s">
        <v>905</v>
      </c>
      <c r="C564" s="78">
        <v>2012</v>
      </c>
      <c r="D564" s="111" t="s">
        <v>29</v>
      </c>
      <c r="E564" s="78">
        <v>2015</v>
      </c>
      <c r="F564" s="78" t="s">
        <v>145</v>
      </c>
      <c r="G564" s="80">
        <f>N564/L564</f>
        <v>2364.9716426157047</v>
      </c>
      <c r="H564" s="80" t="s">
        <v>908</v>
      </c>
      <c r="I564" s="85" t="s">
        <v>27</v>
      </c>
      <c r="J564" s="81">
        <v>434</v>
      </c>
      <c r="K564" s="81">
        <v>1887</v>
      </c>
      <c r="L564" s="131" t="s">
        <v>903</v>
      </c>
      <c r="M564" s="132" t="s">
        <v>909</v>
      </c>
      <c r="N564" s="133">
        <f>150950*M564</f>
        <v>727654.47499999998</v>
      </c>
      <c r="O564" s="84">
        <v>42327</v>
      </c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</row>
    <row r="565" spans="1:84" ht="49.95" customHeight="1" x14ac:dyDescent="0.25">
      <c r="A565" s="77">
        <v>1382</v>
      </c>
      <c r="B565" s="78" t="s">
        <v>910</v>
      </c>
      <c r="C565" s="78">
        <v>2012</v>
      </c>
      <c r="D565" s="111" t="s">
        <v>29</v>
      </c>
      <c r="E565" s="78">
        <v>2015</v>
      </c>
      <c r="F565" s="78" t="s">
        <v>145</v>
      </c>
      <c r="G565" s="80">
        <f>N565/L565</f>
        <v>2368.6848998959963</v>
      </c>
      <c r="H565" s="80" t="s">
        <v>906</v>
      </c>
      <c r="I565" s="85" t="s">
        <v>27</v>
      </c>
      <c r="J565" s="81">
        <v>435</v>
      </c>
      <c r="K565" s="81">
        <v>1888</v>
      </c>
      <c r="L565" s="123" t="s">
        <v>903</v>
      </c>
      <c r="M565" s="123" t="s">
        <v>907</v>
      </c>
      <c r="N565" s="133">
        <f>151300*M565</f>
        <v>728796.97000000009</v>
      </c>
      <c r="O565" s="84">
        <v>42327</v>
      </c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84" s="24" customFormat="1" ht="130.94999999999999" customHeight="1" x14ac:dyDescent="0.25">
      <c r="A566" s="77">
        <v>1383</v>
      </c>
      <c r="B566" s="78" t="s">
        <v>912</v>
      </c>
      <c r="C566" s="78">
        <v>1998</v>
      </c>
      <c r="D566" s="118" t="s">
        <v>913</v>
      </c>
      <c r="E566" s="78">
        <v>2015</v>
      </c>
      <c r="F566" s="78" t="s">
        <v>437</v>
      </c>
      <c r="G566" s="80">
        <v>16050</v>
      </c>
      <c r="H566" s="80" t="s">
        <v>1043</v>
      </c>
      <c r="I566" s="85" t="s">
        <v>132</v>
      </c>
      <c r="J566" s="81">
        <v>436</v>
      </c>
      <c r="K566" s="81">
        <v>1889</v>
      </c>
      <c r="L566" s="123" t="s">
        <v>897</v>
      </c>
      <c r="M566" s="123"/>
      <c r="N566" s="83">
        <f>G566*L566</f>
        <v>3902557.5</v>
      </c>
      <c r="O566" s="84">
        <v>42332</v>
      </c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</row>
    <row r="567" spans="1:84" ht="47.4" customHeight="1" x14ac:dyDescent="0.25">
      <c r="A567" s="77">
        <v>1384</v>
      </c>
      <c r="B567" s="78" t="s">
        <v>914</v>
      </c>
      <c r="C567" s="78">
        <v>2012</v>
      </c>
      <c r="D567" s="111" t="s">
        <v>29</v>
      </c>
      <c r="E567" s="78">
        <v>2015</v>
      </c>
      <c r="F567" s="90" t="s">
        <v>352</v>
      </c>
      <c r="G567" s="80">
        <v>3855</v>
      </c>
      <c r="H567" s="80" t="s">
        <v>846</v>
      </c>
      <c r="I567" s="109" t="s">
        <v>27</v>
      </c>
      <c r="J567" s="81">
        <v>437</v>
      </c>
      <c r="K567" s="81">
        <v>1890</v>
      </c>
      <c r="L567" s="123" t="s">
        <v>915</v>
      </c>
      <c r="M567" s="123"/>
      <c r="N567" s="133">
        <f>G567*L567</f>
        <v>1188226.6500000001</v>
      </c>
      <c r="O567" s="84">
        <v>42332</v>
      </c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84" s="71" customFormat="1" ht="47.4" customHeight="1" x14ac:dyDescent="0.25">
      <c r="A568" s="77">
        <v>1385</v>
      </c>
      <c r="B568" s="78" t="s">
        <v>916</v>
      </c>
      <c r="C568" s="78">
        <v>2012</v>
      </c>
      <c r="D568" s="111" t="s">
        <v>29</v>
      </c>
      <c r="E568" s="78">
        <v>2015</v>
      </c>
      <c r="F568" s="90" t="s">
        <v>329</v>
      </c>
      <c r="G568" s="80">
        <f>N568/L568</f>
        <v>1502.431594023632</v>
      </c>
      <c r="H568" s="80" t="s">
        <v>1005</v>
      </c>
      <c r="I568" s="109" t="s">
        <v>27</v>
      </c>
      <c r="J568" s="81">
        <v>438</v>
      </c>
      <c r="K568" s="81">
        <v>1891</v>
      </c>
      <c r="L568" s="123" t="s">
        <v>917</v>
      </c>
      <c r="M568" s="123" t="s">
        <v>918</v>
      </c>
      <c r="N568" s="133">
        <f>97300*M568</f>
        <v>461562.00999999995</v>
      </c>
      <c r="O568" s="84">
        <v>42332</v>
      </c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</row>
    <row r="569" spans="1:84" ht="140.4" customHeight="1" x14ac:dyDescent="0.25">
      <c r="A569" s="77"/>
      <c r="B569" s="78" t="s">
        <v>919</v>
      </c>
      <c r="C569" s="78">
        <v>2007</v>
      </c>
      <c r="D569" s="92" t="s">
        <v>31</v>
      </c>
      <c r="E569" s="78" t="s">
        <v>195</v>
      </c>
      <c r="F569" s="90" t="s">
        <v>920</v>
      </c>
      <c r="G569" s="80">
        <f>N569/L569</f>
        <v>3014.6182122977771</v>
      </c>
      <c r="H569" s="80" t="s">
        <v>921</v>
      </c>
      <c r="I569" s="85" t="s">
        <v>132</v>
      </c>
      <c r="J569" s="81">
        <v>439</v>
      </c>
      <c r="K569" s="81">
        <v>1892</v>
      </c>
      <c r="L569" s="123" t="s">
        <v>917</v>
      </c>
      <c r="M569" s="123" t="s">
        <v>922</v>
      </c>
      <c r="N569" s="83">
        <f>194690*M569</f>
        <v>926120.86100000003</v>
      </c>
      <c r="O569" s="84">
        <v>42332</v>
      </c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84" s="71" customFormat="1" ht="88.95" customHeight="1" x14ac:dyDescent="0.25">
      <c r="A570" s="93"/>
      <c r="B570" s="90" t="s">
        <v>511</v>
      </c>
      <c r="C570" s="93">
        <v>2013</v>
      </c>
      <c r="D570" s="113" t="s">
        <v>512</v>
      </c>
      <c r="E570" s="90" t="s">
        <v>449</v>
      </c>
      <c r="F570" s="90" t="s">
        <v>452</v>
      </c>
      <c r="G570" s="79">
        <f>N570/L570</f>
        <v>5019.7502462094571</v>
      </c>
      <c r="H570" s="80" t="s">
        <v>1090</v>
      </c>
      <c r="I570" s="85" t="s">
        <v>132</v>
      </c>
      <c r="J570" s="87">
        <v>440</v>
      </c>
      <c r="K570" s="87">
        <v>1893</v>
      </c>
      <c r="L570" s="87">
        <v>307.08</v>
      </c>
      <c r="M570" s="82">
        <v>4.7594000000000003</v>
      </c>
      <c r="N570" s="83">
        <f>323877.99*M570</f>
        <v>1541464.905606</v>
      </c>
      <c r="O570" s="84">
        <v>42334</v>
      </c>
      <c r="P570" s="25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</row>
    <row r="571" spans="1:84" s="71" customFormat="1" ht="39.6" customHeight="1" x14ac:dyDescent="0.25">
      <c r="A571" s="93"/>
      <c r="B571" s="90" t="s">
        <v>88</v>
      </c>
      <c r="C571" s="93">
        <v>2005</v>
      </c>
      <c r="D571" s="113" t="s">
        <v>29</v>
      </c>
      <c r="E571" s="90" t="s">
        <v>183</v>
      </c>
      <c r="F571" s="90" t="s">
        <v>530</v>
      </c>
      <c r="G571" s="79">
        <f>N571/L571</f>
        <v>690.37384394945946</v>
      </c>
      <c r="H571" s="80" t="s">
        <v>1116</v>
      </c>
      <c r="I571" s="85" t="s">
        <v>27</v>
      </c>
      <c r="J571" s="87">
        <v>441</v>
      </c>
      <c r="K571" s="87">
        <v>1894</v>
      </c>
      <c r="L571" s="87">
        <v>307.08</v>
      </c>
      <c r="M571" s="82"/>
      <c r="N571" s="83">
        <v>212000</v>
      </c>
      <c r="O571" s="84">
        <v>42334</v>
      </c>
      <c r="P571" s="25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</row>
    <row r="572" spans="1:84" ht="33" customHeight="1" x14ac:dyDescent="0.25">
      <c r="A572" s="77">
        <v>1386</v>
      </c>
      <c r="B572" s="78" t="s">
        <v>923</v>
      </c>
      <c r="C572" s="78">
        <v>2013</v>
      </c>
      <c r="D572" s="111" t="s">
        <v>29</v>
      </c>
      <c r="E572" s="78">
        <v>2015</v>
      </c>
      <c r="F572" s="78" t="s">
        <v>439</v>
      </c>
      <c r="G572" s="80">
        <v>3992</v>
      </c>
      <c r="H572" s="80" t="s">
        <v>247</v>
      </c>
      <c r="I572" s="109" t="s">
        <v>27</v>
      </c>
      <c r="J572" s="81">
        <v>442</v>
      </c>
      <c r="K572" s="81">
        <v>1895</v>
      </c>
      <c r="L572" s="123" t="s">
        <v>924</v>
      </c>
      <c r="M572" s="123"/>
      <c r="N572" s="133">
        <f>G572*L572</f>
        <v>1230853.3599999999</v>
      </c>
      <c r="O572" s="84">
        <v>42338</v>
      </c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84" ht="80.400000000000006" customHeight="1" x14ac:dyDescent="0.25">
      <c r="A573" s="77"/>
      <c r="B573" s="78" t="s">
        <v>789</v>
      </c>
      <c r="C573" s="78">
        <v>2010</v>
      </c>
      <c r="D573" s="113" t="s">
        <v>790</v>
      </c>
      <c r="E573" s="78" t="s">
        <v>195</v>
      </c>
      <c r="F573" s="78" t="s">
        <v>437</v>
      </c>
      <c r="G573" s="80">
        <v>1100</v>
      </c>
      <c r="H573" s="80" t="s">
        <v>55</v>
      </c>
      <c r="I573" s="85" t="s">
        <v>943</v>
      </c>
      <c r="J573" s="81">
        <v>443</v>
      </c>
      <c r="K573" s="81">
        <v>1896</v>
      </c>
      <c r="L573" s="123" t="s">
        <v>897</v>
      </c>
      <c r="M573" s="123"/>
      <c r="N573" s="83">
        <f>G573*L573</f>
        <v>267465</v>
      </c>
      <c r="O573" s="84">
        <v>42338</v>
      </c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84" ht="100.95" customHeight="1" x14ac:dyDescent="0.25">
      <c r="A574" s="77">
        <v>1387</v>
      </c>
      <c r="B574" s="78" t="s">
        <v>925</v>
      </c>
      <c r="C574" s="78">
        <v>2014</v>
      </c>
      <c r="D574" s="111" t="s">
        <v>926</v>
      </c>
      <c r="E574" s="78">
        <v>2015</v>
      </c>
      <c r="F574" s="78" t="s">
        <v>437</v>
      </c>
      <c r="G574" s="80">
        <v>5500</v>
      </c>
      <c r="H574" s="80" t="s">
        <v>161</v>
      </c>
      <c r="I574" s="85" t="s">
        <v>132</v>
      </c>
      <c r="J574" s="81">
        <v>444</v>
      </c>
      <c r="K574" s="81">
        <v>1897</v>
      </c>
      <c r="L574" s="123" t="s">
        <v>897</v>
      </c>
      <c r="M574" s="123"/>
      <c r="N574" s="83">
        <f>G574*L574</f>
        <v>1337325</v>
      </c>
      <c r="O574" s="84">
        <v>42338</v>
      </c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84" ht="58.95" customHeight="1" x14ac:dyDescent="0.25">
      <c r="A575" s="77">
        <v>1388</v>
      </c>
      <c r="B575" s="78" t="s">
        <v>927</v>
      </c>
      <c r="C575" s="78">
        <v>2008</v>
      </c>
      <c r="D575" s="111" t="s">
        <v>29</v>
      </c>
      <c r="E575" s="78">
        <v>2015</v>
      </c>
      <c r="F575" s="78" t="s">
        <v>44</v>
      </c>
      <c r="G575" s="80">
        <v>3998</v>
      </c>
      <c r="H575" s="80" t="s">
        <v>231</v>
      </c>
      <c r="I575" s="85" t="s">
        <v>27</v>
      </c>
      <c r="J575" s="81">
        <v>445</v>
      </c>
      <c r="K575" s="81">
        <v>1898</v>
      </c>
      <c r="L575" s="123" t="s">
        <v>928</v>
      </c>
      <c r="M575" s="123"/>
      <c r="N575" s="83">
        <f>G575*L575</f>
        <v>1234102.6400000001</v>
      </c>
      <c r="O575" s="84">
        <v>42341</v>
      </c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84" ht="58.2" customHeight="1" x14ac:dyDescent="0.25">
      <c r="A576" s="77">
        <v>1389</v>
      </c>
      <c r="B576" s="78" t="s">
        <v>929</v>
      </c>
      <c r="C576" s="78">
        <v>2006</v>
      </c>
      <c r="D576" s="111" t="s">
        <v>29</v>
      </c>
      <c r="E576" s="78">
        <v>2015</v>
      </c>
      <c r="F576" s="78" t="s">
        <v>44</v>
      </c>
      <c r="G576" s="80">
        <v>3998</v>
      </c>
      <c r="H576" s="80" t="s">
        <v>231</v>
      </c>
      <c r="I576" s="85" t="s">
        <v>27</v>
      </c>
      <c r="J576" s="81">
        <v>446</v>
      </c>
      <c r="K576" s="81">
        <v>1899</v>
      </c>
      <c r="L576" s="123" t="s">
        <v>928</v>
      </c>
      <c r="M576" s="123"/>
      <c r="N576" s="83">
        <f>G576*L576</f>
        <v>1234102.6400000001</v>
      </c>
      <c r="O576" s="84">
        <v>42341</v>
      </c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39" ht="46.2" customHeight="1" x14ac:dyDescent="0.25">
      <c r="A577" s="77"/>
      <c r="B577" s="78" t="s">
        <v>503</v>
      </c>
      <c r="C577" s="78">
        <v>2014</v>
      </c>
      <c r="D577" s="116" t="s">
        <v>59</v>
      </c>
      <c r="E577" s="78" t="s">
        <v>195</v>
      </c>
      <c r="F577" s="90" t="s">
        <v>155</v>
      </c>
      <c r="G577" s="80">
        <f>N577/L577</f>
        <v>554.51541200935787</v>
      </c>
      <c r="H577" s="80" t="s">
        <v>930</v>
      </c>
      <c r="I577" s="85" t="s">
        <v>132</v>
      </c>
      <c r="J577" s="81">
        <v>447</v>
      </c>
      <c r="K577" s="81">
        <v>1900</v>
      </c>
      <c r="L577" s="123" t="s">
        <v>931</v>
      </c>
      <c r="M577" s="123" t="s">
        <v>932</v>
      </c>
      <c r="N577" s="83">
        <f>36089*M577</f>
        <v>170657.66319999998</v>
      </c>
      <c r="O577" s="84">
        <v>42341</v>
      </c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39" s="71" customFormat="1" ht="72.599999999999994" customHeight="1" x14ac:dyDescent="0.25">
      <c r="A578" s="77">
        <v>1390</v>
      </c>
      <c r="B578" s="78" t="s">
        <v>933</v>
      </c>
      <c r="C578" s="78">
        <v>2015</v>
      </c>
      <c r="D578" s="113" t="s">
        <v>934</v>
      </c>
      <c r="E578" s="78">
        <v>2015</v>
      </c>
      <c r="F578" s="78" t="s">
        <v>437</v>
      </c>
      <c r="G578" s="80">
        <v>8500</v>
      </c>
      <c r="H578" s="80" t="s">
        <v>798</v>
      </c>
      <c r="I578" s="85" t="s">
        <v>132</v>
      </c>
      <c r="J578" s="81">
        <v>448</v>
      </c>
      <c r="K578" s="81">
        <v>1901</v>
      </c>
      <c r="L578" s="123" t="s">
        <v>897</v>
      </c>
      <c r="M578" s="123"/>
      <c r="N578" s="83">
        <f t="shared" ref="N578:N584" si="34">G578*L578</f>
        <v>2066775</v>
      </c>
      <c r="O578" s="84">
        <v>42345</v>
      </c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</row>
    <row r="579" spans="1:39" ht="48.6" customHeight="1" x14ac:dyDescent="0.25">
      <c r="A579" s="173">
        <v>1391</v>
      </c>
      <c r="B579" s="175" t="s">
        <v>936</v>
      </c>
      <c r="C579" s="175">
        <v>2014</v>
      </c>
      <c r="D579" s="177" t="s">
        <v>935</v>
      </c>
      <c r="E579" s="175">
        <v>2015</v>
      </c>
      <c r="F579" s="175" t="s">
        <v>437</v>
      </c>
      <c r="G579" s="80">
        <v>9000</v>
      </c>
      <c r="H579" s="80" t="s">
        <v>47</v>
      </c>
      <c r="I579" s="161" t="s">
        <v>132</v>
      </c>
      <c r="J579" s="157">
        <v>449</v>
      </c>
      <c r="K579" s="157">
        <v>1902</v>
      </c>
      <c r="L579" s="123" t="s">
        <v>897</v>
      </c>
      <c r="M579" s="123"/>
      <c r="N579" s="83">
        <f t="shared" si="34"/>
        <v>2188350</v>
      </c>
      <c r="O579" s="84">
        <v>42345</v>
      </c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39" ht="49.95" customHeight="1" x14ac:dyDescent="0.25">
      <c r="A580" s="174"/>
      <c r="B580" s="176"/>
      <c r="C580" s="176"/>
      <c r="D580" s="187"/>
      <c r="E580" s="176"/>
      <c r="F580" s="176"/>
      <c r="G580" s="80">
        <v>6000</v>
      </c>
      <c r="H580" s="80" t="s">
        <v>108</v>
      </c>
      <c r="I580" s="162"/>
      <c r="J580" s="158"/>
      <c r="K580" s="158"/>
      <c r="L580" s="123" t="s">
        <v>942</v>
      </c>
      <c r="M580" s="123"/>
      <c r="N580" s="83">
        <f t="shared" si="34"/>
        <v>1854780</v>
      </c>
      <c r="O580" s="84">
        <v>42346</v>
      </c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39" ht="38.4" customHeight="1" x14ac:dyDescent="0.25">
      <c r="A581" s="77">
        <v>1392</v>
      </c>
      <c r="B581" s="78" t="s">
        <v>937</v>
      </c>
      <c r="C581" s="78">
        <v>2013</v>
      </c>
      <c r="D581" s="111" t="s">
        <v>29</v>
      </c>
      <c r="E581" s="78">
        <v>2015</v>
      </c>
      <c r="F581" s="78" t="s">
        <v>938</v>
      </c>
      <c r="G581" s="80">
        <v>1900</v>
      </c>
      <c r="H581" s="80" t="s">
        <v>283</v>
      </c>
      <c r="I581" s="85" t="s">
        <v>27</v>
      </c>
      <c r="J581" s="81">
        <v>450</v>
      </c>
      <c r="K581" s="81">
        <v>1903</v>
      </c>
      <c r="L581" s="123" t="s">
        <v>939</v>
      </c>
      <c r="M581" s="123"/>
      <c r="N581" s="83">
        <f t="shared" si="34"/>
        <v>585257</v>
      </c>
      <c r="O581" s="84">
        <v>42345</v>
      </c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39" ht="40.200000000000003" customHeight="1" x14ac:dyDescent="0.25">
      <c r="A582" s="173">
        <v>1393</v>
      </c>
      <c r="B582" s="175" t="s">
        <v>940</v>
      </c>
      <c r="C582" s="175">
        <v>2011</v>
      </c>
      <c r="D582" s="177" t="s">
        <v>941</v>
      </c>
      <c r="E582" s="175">
        <v>2015</v>
      </c>
      <c r="F582" s="175" t="s">
        <v>102</v>
      </c>
      <c r="G582" s="80">
        <v>9000</v>
      </c>
      <c r="H582" s="80" t="s">
        <v>47</v>
      </c>
      <c r="I582" s="161" t="s">
        <v>132</v>
      </c>
      <c r="J582" s="157">
        <v>451</v>
      </c>
      <c r="K582" s="157">
        <v>1904</v>
      </c>
      <c r="L582" s="123" t="s">
        <v>897</v>
      </c>
      <c r="M582" s="123"/>
      <c r="N582" s="83">
        <f t="shared" si="34"/>
        <v>2188350</v>
      </c>
      <c r="O582" s="84">
        <v>42345</v>
      </c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39" ht="37.200000000000003" customHeight="1" x14ac:dyDescent="0.25">
      <c r="A583" s="179"/>
      <c r="B583" s="181"/>
      <c r="C583" s="181"/>
      <c r="D583" s="182"/>
      <c r="E583" s="181"/>
      <c r="F583" s="181"/>
      <c r="G583" s="80">
        <v>9000</v>
      </c>
      <c r="H583" s="80" t="s">
        <v>47</v>
      </c>
      <c r="I583" s="162"/>
      <c r="J583" s="168"/>
      <c r="K583" s="168"/>
      <c r="L583" s="123" t="s">
        <v>942</v>
      </c>
      <c r="M583" s="123"/>
      <c r="N583" s="83">
        <f t="shared" si="34"/>
        <v>2782170</v>
      </c>
      <c r="O583" s="84">
        <v>42346</v>
      </c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39" ht="37.950000000000003" customHeight="1" x14ac:dyDescent="0.25">
      <c r="A584" s="180"/>
      <c r="B584" s="178"/>
      <c r="C584" s="178"/>
      <c r="D584" s="178"/>
      <c r="E584" s="178"/>
      <c r="F584" s="178"/>
      <c r="G584" s="80">
        <v>2000</v>
      </c>
      <c r="H584" s="80" t="s">
        <v>79</v>
      </c>
      <c r="I584" s="91" t="s">
        <v>27</v>
      </c>
      <c r="J584" s="151"/>
      <c r="K584" s="151"/>
      <c r="L584" s="123" t="s">
        <v>945</v>
      </c>
      <c r="M584" s="123"/>
      <c r="N584" s="83">
        <f t="shared" si="34"/>
        <v>621680</v>
      </c>
      <c r="O584" s="84">
        <v>42347</v>
      </c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39" ht="49.2" customHeight="1" x14ac:dyDescent="0.25">
      <c r="A585" s="93"/>
      <c r="B585" s="90" t="s">
        <v>276</v>
      </c>
      <c r="C585" s="90">
        <v>2014</v>
      </c>
      <c r="D585" s="78" t="s">
        <v>59</v>
      </c>
      <c r="E585" s="90" t="s">
        <v>449</v>
      </c>
      <c r="F585" s="78" t="s">
        <v>155</v>
      </c>
      <c r="G585" s="80">
        <f>N585/L585</f>
        <v>1244.0983902296425</v>
      </c>
      <c r="H585" s="80" t="s">
        <v>946</v>
      </c>
      <c r="I585" s="91" t="s">
        <v>27</v>
      </c>
      <c r="J585" s="87">
        <v>452</v>
      </c>
      <c r="K585" s="87">
        <v>1905</v>
      </c>
      <c r="L585" s="123" t="s">
        <v>947</v>
      </c>
      <c r="M585" s="123" t="s">
        <v>948</v>
      </c>
      <c r="N585" s="83">
        <f>82105.16*M585</f>
        <v>383020.57140000002</v>
      </c>
      <c r="O585" s="84">
        <v>42347</v>
      </c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39" ht="34.200000000000003" customHeight="1" x14ac:dyDescent="0.25">
      <c r="A586" s="93">
        <v>1394</v>
      </c>
      <c r="B586" s="90" t="s">
        <v>949</v>
      </c>
      <c r="C586" s="90">
        <v>2006</v>
      </c>
      <c r="D586" s="112" t="s">
        <v>29</v>
      </c>
      <c r="E586" s="90">
        <v>2015</v>
      </c>
      <c r="F586" s="78" t="s">
        <v>105</v>
      </c>
      <c r="G586" s="80">
        <f>N586/L586</f>
        <v>2255.7845031994025</v>
      </c>
      <c r="H586" s="80" t="s">
        <v>950</v>
      </c>
      <c r="I586" s="91" t="s">
        <v>27</v>
      </c>
      <c r="J586" s="87">
        <v>453</v>
      </c>
      <c r="K586" s="87">
        <v>1906</v>
      </c>
      <c r="L586" s="123" t="s">
        <v>947</v>
      </c>
      <c r="M586" s="123" t="s">
        <v>951</v>
      </c>
      <c r="N586" s="83">
        <f>152250*M586</f>
        <v>694488.375</v>
      </c>
      <c r="O586" s="84">
        <v>42347</v>
      </c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39" ht="47.4" customHeight="1" x14ac:dyDescent="0.25">
      <c r="A587" s="93">
        <v>1395</v>
      </c>
      <c r="B587" s="90" t="s">
        <v>952</v>
      </c>
      <c r="C587" s="90">
        <v>2011</v>
      </c>
      <c r="D587" s="112" t="s">
        <v>29</v>
      </c>
      <c r="E587" s="90">
        <v>2015</v>
      </c>
      <c r="F587" s="90" t="s">
        <v>352</v>
      </c>
      <c r="G587" s="80">
        <v>3165</v>
      </c>
      <c r="H587" s="80" t="s">
        <v>989</v>
      </c>
      <c r="I587" s="91" t="s">
        <v>132</v>
      </c>
      <c r="J587" s="87">
        <v>454</v>
      </c>
      <c r="K587" s="87">
        <v>1907</v>
      </c>
      <c r="L587" s="123" t="s">
        <v>897</v>
      </c>
      <c r="M587" s="123"/>
      <c r="N587" s="83">
        <f t="shared" ref="N587:N596" si="35">G587*L587</f>
        <v>769569.75</v>
      </c>
      <c r="O587" s="84">
        <v>42347</v>
      </c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39" ht="75.599999999999994" customHeight="1" x14ac:dyDescent="0.25">
      <c r="A588" s="173">
        <v>1396</v>
      </c>
      <c r="B588" s="175" t="s">
        <v>953</v>
      </c>
      <c r="C588" s="175">
        <v>2010</v>
      </c>
      <c r="D588" s="177" t="s">
        <v>954</v>
      </c>
      <c r="E588" s="175">
        <v>2015</v>
      </c>
      <c r="F588" s="175" t="s">
        <v>91</v>
      </c>
      <c r="G588" s="80">
        <v>9000</v>
      </c>
      <c r="H588" s="80" t="s">
        <v>47</v>
      </c>
      <c r="I588" s="161" t="s">
        <v>27</v>
      </c>
      <c r="J588" s="157">
        <v>455</v>
      </c>
      <c r="K588" s="157">
        <v>1908</v>
      </c>
      <c r="L588" s="123" t="s">
        <v>955</v>
      </c>
      <c r="M588" s="123"/>
      <c r="N588" s="83">
        <f t="shared" si="35"/>
        <v>2996100</v>
      </c>
      <c r="O588" s="84">
        <v>42352</v>
      </c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39" ht="31.95" customHeight="1" x14ac:dyDescent="0.25">
      <c r="A589" s="180"/>
      <c r="B589" s="178"/>
      <c r="C589" s="178"/>
      <c r="D589" s="178"/>
      <c r="E589" s="178"/>
      <c r="F589" s="178"/>
      <c r="G589" s="80">
        <v>1000</v>
      </c>
      <c r="H589" s="80" t="s">
        <v>287</v>
      </c>
      <c r="I589" s="164"/>
      <c r="J589" s="151"/>
      <c r="K589" s="151"/>
      <c r="L589" s="123" t="s">
        <v>957</v>
      </c>
      <c r="M589" s="123"/>
      <c r="N589" s="83">
        <f t="shared" si="35"/>
        <v>338410</v>
      </c>
      <c r="O589" s="84">
        <v>42353</v>
      </c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39" s="24" customFormat="1" ht="36.6" customHeight="1" x14ac:dyDescent="0.25">
      <c r="A590" s="173">
        <v>1397</v>
      </c>
      <c r="B590" s="175" t="s">
        <v>956</v>
      </c>
      <c r="C590" s="175">
        <v>2009</v>
      </c>
      <c r="D590" s="184" t="s">
        <v>118</v>
      </c>
      <c r="E590" s="175">
        <v>2015</v>
      </c>
      <c r="F590" s="175" t="s">
        <v>91</v>
      </c>
      <c r="G590" s="80">
        <v>9000</v>
      </c>
      <c r="H590" s="80" t="s">
        <v>47</v>
      </c>
      <c r="I590" s="161" t="s">
        <v>132</v>
      </c>
      <c r="J590" s="157">
        <v>456</v>
      </c>
      <c r="K590" s="157">
        <v>1909</v>
      </c>
      <c r="L590" s="123" t="s">
        <v>897</v>
      </c>
      <c r="M590" s="123"/>
      <c r="N590" s="83">
        <f t="shared" si="35"/>
        <v>2188350</v>
      </c>
      <c r="O590" s="84">
        <v>42352</v>
      </c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</row>
    <row r="591" spans="1:39" s="24" customFormat="1" ht="33" customHeight="1" x14ac:dyDescent="0.25">
      <c r="A591" s="179"/>
      <c r="B591" s="181"/>
      <c r="C591" s="181"/>
      <c r="D591" s="182"/>
      <c r="E591" s="181"/>
      <c r="F591" s="181"/>
      <c r="G591" s="80">
        <v>9000</v>
      </c>
      <c r="H591" s="80" t="s">
        <v>47</v>
      </c>
      <c r="I591" s="172"/>
      <c r="J591" s="168"/>
      <c r="K591" s="168"/>
      <c r="L591" s="123" t="s">
        <v>897</v>
      </c>
      <c r="M591" s="123"/>
      <c r="N591" s="83">
        <f t="shared" si="35"/>
        <v>2188350</v>
      </c>
      <c r="O591" s="84">
        <v>42353</v>
      </c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</row>
    <row r="592" spans="1:39" s="24" customFormat="1" ht="39.6" customHeight="1" x14ac:dyDescent="0.25">
      <c r="A592" s="174"/>
      <c r="B592" s="176"/>
      <c r="C592" s="176"/>
      <c r="D592" s="178"/>
      <c r="E592" s="176"/>
      <c r="F592" s="176"/>
      <c r="G592" s="80">
        <v>83000</v>
      </c>
      <c r="H592" s="80" t="s">
        <v>1100</v>
      </c>
      <c r="I592" s="162"/>
      <c r="J592" s="158"/>
      <c r="K592" s="158"/>
      <c r="L592" s="123" t="s">
        <v>897</v>
      </c>
      <c r="M592" s="123"/>
      <c r="N592" s="83">
        <f t="shared" si="35"/>
        <v>20181450</v>
      </c>
      <c r="O592" s="84">
        <v>42360</v>
      </c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</row>
    <row r="593" spans="1:39" ht="74.400000000000006" customHeight="1" x14ac:dyDescent="0.25">
      <c r="A593" s="77"/>
      <c r="B593" s="78" t="s">
        <v>933</v>
      </c>
      <c r="C593" s="78">
        <v>2015</v>
      </c>
      <c r="D593" s="113" t="s">
        <v>934</v>
      </c>
      <c r="E593" s="78" t="s">
        <v>197</v>
      </c>
      <c r="F593" s="78" t="s">
        <v>437</v>
      </c>
      <c r="G593" s="80">
        <v>8100</v>
      </c>
      <c r="H593" s="80" t="s">
        <v>958</v>
      </c>
      <c r="I593" s="85" t="s">
        <v>27</v>
      </c>
      <c r="J593" s="81"/>
      <c r="K593" s="81"/>
      <c r="L593" s="123" t="s">
        <v>957</v>
      </c>
      <c r="M593" s="123"/>
      <c r="N593" s="83">
        <f t="shared" si="35"/>
        <v>2741121</v>
      </c>
      <c r="O593" s="84">
        <v>42353</v>
      </c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39" ht="32.4" customHeight="1" x14ac:dyDescent="0.25">
      <c r="A594" s="173">
        <v>1398</v>
      </c>
      <c r="B594" s="175" t="s">
        <v>959</v>
      </c>
      <c r="C594" s="175">
        <v>2006</v>
      </c>
      <c r="D594" s="177" t="s">
        <v>960</v>
      </c>
      <c r="E594" s="175">
        <v>2015</v>
      </c>
      <c r="F594" s="175" t="s">
        <v>961</v>
      </c>
      <c r="G594" s="80">
        <v>9000</v>
      </c>
      <c r="H594" s="80" t="s">
        <v>47</v>
      </c>
      <c r="I594" s="161" t="s">
        <v>132</v>
      </c>
      <c r="J594" s="157">
        <v>457</v>
      </c>
      <c r="K594" s="157">
        <v>1910</v>
      </c>
      <c r="L594" s="123" t="s">
        <v>897</v>
      </c>
      <c r="M594" s="123"/>
      <c r="N594" s="83">
        <f t="shared" si="35"/>
        <v>2188350</v>
      </c>
      <c r="O594" s="84">
        <v>42353</v>
      </c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39" ht="34.200000000000003" customHeight="1" x14ac:dyDescent="0.25">
      <c r="A595" s="179"/>
      <c r="B595" s="181"/>
      <c r="C595" s="181"/>
      <c r="D595" s="182"/>
      <c r="E595" s="181"/>
      <c r="F595" s="181"/>
      <c r="G595" s="80">
        <v>9000</v>
      </c>
      <c r="H595" s="80" t="s">
        <v>47</v>
      </c>
      <c r="I595" s="172"/>
      <c r="J595" s="168"/>
      <c r="K595" s="168"/>
      <c r="L595" s="123" t="s">
        <v>967</v>
      </c>
      <c r="M595" s="123"/>
      <c r="N595" s="83">
        <f t="shared" si="35"/>
        <v>2996100</v>
      </c>
      <c r="O595" s="84">
        <v>42361</v>
      </c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39" ht="30.6" customHeight="1" x14ac:dyDescent="0.25">
      <c r="A596" s="180"/>
      <c r="B596" s="178"/>
      <c r="C596" s="178"/>
      <c r="D596" s="183"/>
      <c r="E596" s="178"/>
      <c r="F596" s="178"/>
      <c r="G596" s="80">
        <v>1000</v>
      </c>
      <c r="H596" s="80" t="s">
        <v>287</v>
      </c>
      <c r="I596" s="164"/>
      <c r="J596" s="151"/>
      <c r="K596" s="151"/>
      <c r="L596" s="123" t="s">
        <v>897</v>
      </c>
      <c r="M596" s="123"/>
      <c r="N596" s="83">
        <f t="shared" si="35"/>
        <v>243150</v>
      </c>
      <c r="O596" s="84">
        <v>42362</v>
      </c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39" ht="71.400000000000006" customHeight="1" x14ac:dyDescent="0.25">
      <c r="A597" s="93"/>
      <c r="B597" s="90" t="s">
        <v>13</v>
      </c>
      <c r="C597" s="90">
        <v>2008</v>
      </c>
      <c r="D597" s="92" t="s">
        <v>14</v>
      </c>
      <c r="E597" s="90" t="s">
        <v>207</v>
      </c>
      <c r="F597" s="78" t="s">
        <v>406</v>
      </c>
      <c r="G597" s="80">
        <f>N597/L597</f>
        <v>365.90744443171405</v>
      </c>
      <c r="H597" s="80" t="s">
        <v>962</v>
      </c>
      <c r="I597" s="91" t="s">
        <v>132</v>
      </c>
      <c r="J597" s="87">
        <v>458</v>
      </c>
      <c r="K597" s="87">
        <v>1911</v>
      </c>
      <c r="L597" s="123" t="s">
        <v>963</v>
      </c>
      <c r="M597" s="123" t="s">
        <v>964</v>
      </c>
      <c r="N597" s="83">
        <f>26070*M597</f>
        <v>127745.607</v>
      </c>
      <c r="O597" s="84">
        <v>42360</v>
      </c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39" ht="58.2" customHeight="1" x14ac:dyDescent="0.25">
      <c r="A598" s="93"/>
      <c r="B598" s="90" t="s">
        <v>23</v>
      </c>
      <c r="C598" s="90">
        <v>2012</v>
      </c>
      <c r="D598" s="135" t="s">
        <v>19</v>
      </c>
      <c r="E598" s="90" t="s">
        <v>449</v>
      </c>
      <c r="F598" s="78" t="s">
        <v>135</v>
      </c>
      <c r="G598" s="80">
        <f>N598/L598</f>
        <v>9252.8186640696604</v>
      </c>
      <c r="H598" s="80" t="s">
        <v>965</v>
      </c>
      <c r="I598" s="91" t="s">
        <v>27</v>
      </c>
      <c r="J598" s="87">
        <v>459</v>
      </c>
      <c r="K598" s="87">
        <v>1912</v>
      </c>
      <c r="L598" s="123" t="s">
        <v>963</v>
      </c>
      <c r="M598" s="123" t="s">
        <v>966</v>
      </c>
      <c r="N598" s="83">
        <f>674140*M598</f>
        <v>3230344.0520000001</v>
      </c>
      <c r="O598" s="84">
        <v>42360</v>
      </c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39" s="71" customFormat="1" ht="88.95" customHeight="1" x14ac:dyDescent="0.25">
      <c r="A599" s="93"/>
      <c r="B599" s="90" t="s">
        <v>760</v>
      </c>
      <c r="C599" s="90">
        <v>2015</v>
      </c>
      <c r="D599" s="113" t="s">
        <v>761</v>
      </c>
      <c r="E599" s="90" t="s">
        <v>195</v>
      </c>
      <c r="F599" s="90" t="s">
        <v>762</v>
      </c>
      <c r="G599" s="80">
        <f>N599/L599</f>
        <v>2076.2044984851182</v>
      </c>
      <c r="H599" s="80" t="s">
        <v>1094</v>
      </c>
      <c r="I599" s="91" t="s">
        <v>27</v>
      </c>
      <c r="J599" s="87">
        <v>460</v>
      </c>
      <c r="K599" s="87">
        <v>1913</v>
      </c>
      <c r="L599" s="123" t="s">
        <v>968</v>
      </c>
      <c r="M599" s="123" t="s">
        <v>969</v>
      </c>
      <c r="N599" s="83">
        <f>146831.15*M599</f>
        <v>698975.00645999995</v>
      </c>
      <c r="O599" s="84">
        <v>42361</v>
      </c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</row>
    <row r="600" spans="1:39" ht="35.4" customHeight="1" x14ac:dyDescent="0.25">
      <c r="A600" s="173"/>
      <c r="B600" s="175" t="s">
        <v>940</v>
      </c>
      <c r="C600" s="175">
        <v>2011</v>
      </c>
      <c r="D600" s="177" t="s">
        <v>941</v>
      </c>
      <c r="E600" s="175" t="s">
        <v>197</v>
      </c>
      <c r="F600" s="175" t="s">
        <v>102</v>
      </c>
      <c r="G600" s="80">
        <v>9000</v>
      </c>
      <c r="H600" s="80" t="s">
        <v>47</v>
      </c>
      <c r="I600" s="161" t="s">
        <v>27</v>
      </c>
      <c r="J600" s="87"/>
      <c r="K600" s="87"/>
      <c r="L600" s="123" t="s">
        <v>967</v>
      </c>
      <c r="M600" s="123"/>
      <c r="N600" s="83">
        <f>G600*L600</f>
        <v>2996100</v>
      </c>
      <c r="O600" s="84">
        <v>42361</v>
      </c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39" ht="30" customHeight="1" x14ac:dyDescent="0.25">
      <c r="A601" s="174"/>
      <c r="B601" s="176"/>
      <c r="C601" s="176"/>
      <c r="D601" s="178"/>
      <c r="E601" s="178"/>
      <c r="F601" s="176"/>
      <c r="G601" s="80">
        <v>1000</v>
      </c>
      <c r="H601" s="80" t="s">
        <v>287</v>
      </c>
      <c r="I601" s="162"/>
      <c r="J601" s="87"/>
      <c r="K601" s="87"/>
      <c r="L601" s="123" t="s">
        <v>970</v>
      </c>
      <c r="M601" s="123"/>
      <c r="N601" s="83">
        <f>G601*L601</f>
        <v>327880</v>
      </c>
      <c r="O601" s="84">
        <v>42362</v>
      </c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39" s="24" customFormat="1" ht="39" customHeight="1" x14ac:dyDescent="0.25">
      <c r="A602" s="173"/>
      <c r="B602" s="175" t="s">
        <v>987</v>
      </c>
      <c r="C602" s="175">
        <v>2005</v>
      </c>
      <c r="D602" s="177" t="s">
        <v>988</v>
      </c>
      <c r="E602" s="175">
        <v>2015</v>
      </c>
      <c r="F602" s="184" t="s">
        <v>290</v>
      </c>
      <c r="G602" s="80">
        <v>9000</v>
      </c>
      <c r="H602" s="80" t="s">
        <v>47</v>
      </c>
      <c r="I602" s="91" t="s">
        <v>27</v>
      </c>
      <c r="J602" s="157">
        <v>461</v>
      </c>
      <c r="K602" s="157">
        <v>1914</v>
      </c>
      <c r="L602" s="123" t="s">
        <v>971</v>
      </c>
      <c r="M602" s="123"/>
      <c r="N602" s="83">
        <f>G602*L602</f>
        <v>2964510</v>
      </c>
      <c r="O602" s="84">
        <v>42363</v>
      </c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</row>
    <row r="603" spans="1:39" s="24" customFormat="1" ht="64.95" customHeight="1" x14ac:dyDescent="0.25">
      <c r="A603" s="174"/>
      <c r="B603" s="176"/>
      <c r="C603" s="176"/>
      <c r="D603" s="178"/>
      <c r="E603" s="176"/>
      <c r="F603" s="178"/>
      <c r="G603" s="80">
        <v>4180</v>
      </c>
      <c r="H603" s="80" t="s">
        <v>972</v>
      </c>
      <c r="I603" s="91" t="s">
        <v>132</v>
      </c>
      <c r="J603" s="158"/>
      <c r="K603" s="158"/>
      <c r="L603" s="123" t="s">
        <v>973</v>
      </c>
      <c r="M603" s="123"/>
      <c r="N603" s="83">
        <f>G603*L603</f>
        <v>1395702</v>
      </c>
      <c r="O603" s="84">
        <v>42366</v>
      </c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</row>
    <row r="604" spans="1:39" ht="38.4" customHeight="1" x14ac:dyDescent="0.25">
      <c r="A604" s="93">
        <v>1399</v>
      </c>
      <c r="B604" s="90" t="s">
        <v>974</v>
      </c>
      <c r="C604" s="90">
        <v>2013</v>
      </c>
      <c r="D604" s="121" t="s">
        <v>29</v>
      </c>
      <c r="E604" s="90">
        <v>2015</v>
      </c>
      <c r="F604" s="78" t="s">
        <v>145</v>
      </c>
      <c r="G604" s="80">
        <f>N604/L604</f>
        <v>1700.9876830688154</v>
      </c>
      <c r="H604" s="80" t="s">
        <v>975</v>
      </c>
      <c r="I604" s="91" t="s">
        <v>27</v>
      </c>
      <c r="J604" s="87">
        <v>462</v>
      </c>
      <c r="K604" s="87">
        <v>1915</v>
      </c>
      <c r="L604" s="123" t="s">
        <v>976</v>
      </c>
      <c r="M604" s="123" t="s">
        <v>977</v>
      </c>
      <c r="N604" s="83">
        <f>115800*M604</f>
        <v>555168.36</v>
      </c>
      <c r="O604" s="84">
        <v>42366</v>
      </c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39" ht="46.2" customHeight="1" x14ac:dyDescent="0.25">
      <c r="A605" s="93">
        <v>1400</v>
      </c>
      <c r="B605" s="90" t="s">
        <v>978</v>
      </c>
      <c r="C605" s="90">
        <v>2013</v>
      </c>
      <c r="D605" s="121" t="s">
        <v>29</v>
      </c>
      <c r="E605" s="90">
        <v>2015</v>
      </c>
      <c r="F605" s="78" t="s">
        <v>352</v>
      </c>
      <c r="G605" s="80">
        <v>3996</v>
      </c>
      <c r="H605" s="80" t="s">
        <v>979</v>
      </c>
      <c r="I605" s="91" t="s">
        <v>27</v>
      </c>
      <c r="J605" s="87">
        <v>463</v>
      </c>
      <c r="K605" s="87">
        <v>1916</v>
      </c>
      <c r="L605" s="123" t="s">
        <v>980</v>
      </c>
      <c r="M605" s="123"/>
      <c r="N605" s="83">
        <f>G605*L605</f>
        <v>1336262.3999999999</v>
      </c>
      <c r="O605" s="84">
        <v>42366</v>
      </c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39" ht="49.95" customHeight="1" x14ac:dyDescent="0.25">
      <c r="A606" s="93">
        <v>1401</v>
      </c>
      <c r="B606" s="90" t="s">
        <v>981</v>
      </c>
      <c r="C606" s="90">
        <v>2006</v>
      </c>
      <c r="D606" s="121" t="s">
        <v>29</v>
      </c>
      <c r="E606" s="90">
        <v>2015</v>
      </c>
      <c r="F606" s="78" t="s">
        <v>457</v>
      </c>
      <c r="G606" s="80">
        <v>3998</v>
      </c>
      <c r="H606" s="80" t="s">
        <v>231</v>
      </c>
      <c r="I606" s="91" t="s">
        <v>27</v>
      </c>
      <c r="J606" s="87">
        <v>464</v>
      </c>
      <c r="K606" s="87">
        <v>1917</v>
      </c>
      <c r="L606" s="123" t="s">
        <v>980</v>
      </c>
      <c r="M606" s="123"/>
      <c r="N606" s="83">
        <f>G606*L606</f>
        <v>1336931.2</v>
      </c>
      <c r="O606" s="84">
        <v>42366</v>
      </c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39" ht="44.4" customHeight="1" x14ac:dyDescent="0.25">
      <c r="A607" s="93">
        <v>1402</v>
      </c>
      <c r="B607" s="90" t="s">
        <v>982</v>
      </c>
      <c r="C607" s="90">
        <v>2014</v>
      </c>
      <c r="D607" s="121" t="s">
        <v>29</v>
      </c>
      <c r="E607" s="90">
        <v>2015</v>
      </c>
      <c r="F607" s="78" t="s">
        <v>469</v>
      </c>
      <c r="G607" s="80">
        <f>N607/L607</f>
        <v>3631.812420785805</v>
      </c>
      <c r="H607" s="80" t="s">
        <v>354</v>
      </c>
      <c r="I607" s="91" t="s">
        <v>27</v>
      </c>
      <c r="J607" s="87">
        <v>465</v>
      </c>
      <c r="K607" s="87">
        <v>1918</v>
      </c>
      <c r="L607" s="123" t="s">
        <v>983</v>
      </c>
      <c r="M607" s="123" t="s">
        <v>984</v>
      </c>
      <c r="N607" s="83">
        <f>23100*M607</f>
        <v>1203510</v>
      </c>
      <c r="O607" s="84">
        <v>42367</v>
      </c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39" s="71" customFormat="1" ht="33.6" customHeight="1" x14ac:dyDescent="0.25">
      <c r="A608" s="93">
        <v>1403</v>
      </c>
      <c r="B608" s="90" t="s">
        <v>985</v>
      </c>
      <c r="C608" s="90">
        <v>2008</v>
      </c>
      <c r="D608" s="121" t="s">
        <v>29</v>
      </c>
      <c r="E608" s="90">
        <v>2015</v>
      </c>
      <c r="F608" s="78" t="s">
        <v>530</v>
      </c>
      <c r="G608" s="80">
        <f>N608/L608</f>
        <v>1031.1839043214422</v>
      </c>
      <c r="H608" s="80" t="s">
        <v>993</v>
      </c>
      <c r="I608" s="91" t="s">
        <v>27</v>
      </c>
      <c r="J608" s="87">
        <v>466</v>
      </c>
      <c r="K608" s="87">
        <v>1919</v>
      </c>
      <c r="L608" s="123" t="s">
        <v>986</v>
      </c>
      <c r="M608" s="123"/>
      <c r="N608" s="83">
        <v>350056</v>
      </c>
      <c r="O608" s="84">
        <v>42369</v>
      </c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</row>
    <row r="609" spans="1:39" s="15" customFormat="1" ht="26.4" x14ac:dyDescent="0.25">
      <c r="A609" s="42"/>
      <c r="B609" s="43" t="s">
        <v>190</v>
      </c>
      <c r="C609" s="44"/>
      <c r="D609" s="44"/>
      <c r="E609" s="45"/>
      <c r="F609" s="45"/>
      <c r="G609" s="46">
        <f>SUM(G26:G608)</f>
        <v>2301083.7269129553</v>
      </c>
      <c r="H609" s="47" t="s">
        <v>56</v>
      </c>
      <c r="I609" s="48"/>
      <c r="J609" s="49"/>
      <c r="K609" s="50"/>
      <c r="L609" s="50"/>
      <c r="M609" s="51"/>
      <c r="N609" s="52">
        <f>SUM(N26:N608)</f>
        <v>487010098.72100019</v>
      </c>
      <c r="O609" s="73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</row>
    <row r="610" spans="1:39" x14ac:dyDescent="0.25">
      <c r="F610" s="22"/>
    </row>
    <row r="611" spans="1:39" x14ac:dyDescent="0.25">
      <c r="F611" s="23"/>
    </row>
  </sheetData>
  <sheetProtection password="81D3" sheet="1" objects="1" scenarios="1" selectLockedCells="1" selectUnlockedCells="1"/>
  <autoFilter ref="A24:O608"/>
  <mergeCells count="463">
    <mergeCell ref="L74:L75"/>
    <mergeCell ref="M74:M75"/>
    <mergeCell ref="N74:N75"/>
    <mergeCell ref="O74:O75"/>
    <mergeCell ref="N298:N299"/>
    <mergeCell ref="O298:O299"/>
    <mergeCell ref="G62:G63"/>
    <mergeCell ref="H62:H63"/>
    <mergeCell ref="L62:L63"/>
    <mergeCell ref="M62:M63"/>
    <mergeCell ref="N62:N63"/>
    <mergeCell ref="O62:O63"/>
    <mergeCell ref="I277:I279"/>
    <mergeCell ref="J277:J279"/>
    <mergeCell ref="K277:K279"/>
    <mergeCell ref="I298:I299"/>
    <mergeCell ref="J298:J299"/>
    <mergeCell ref="K298:K299"/>
    <mergeCell ref="M298:M299"/>
    <mergeCell ref="G298:G299"/>
    <mergeCell ref="H298:H299"/>
    <mergeCell ref="I255:I256"/>
    <mergeCell ref="J255:J256"/>
    <mergeCell ref="K255:K256"/>
    <mergeCell ref="F590:F592"/>
    <mergeCell ref="L298:L299"/>
    <mergeCell ref="I274:I275"/>
    <mergeCell ref="J274:J275"/>
    <mergeCell ref="K274:K275"/>
    <mergeCell ref="J281:J282"/>
    <mergeCell ref="K281:K282"/>
    <mergeCell ref="K588:K589"/>
    <mergeCell ref="I590:I592"/>
    <mergeCell ref="J590:J592"/>
    <mergeCell ref="K590:K592"/>
    <mergeCell ref="L484:L485"/>
    <mergeCell ref="I281:I282"/>
    <mergeCell ref="J449:J450"/>
    <mergeCell ref="K449:K450"/>
    <mergeCell ref="K579:K580"/>
    <mergeCell ref="I582:I583"/>
    <mergeCell ref="I561:I562"/>
    <mergeCell ref="J561:J562"/>
    <mergeCell ref="K561:K562"/>
    <mergeCell ref="J510:J511"/>
    <mergeCell ref="K510:K511"/>
    <mergeCell ref="L510:L511"/>
    <mergeCell ref="G501:G502"/>
    <mergeCell ref="H501:H502"/>
    <mergeCell ref="L501:L502"/>
    <mergeCell ref="M501:M502"/>
    <mergeCell ref="J484:J485"/>
    <mergeCell ref="K484:K485"/>
    <mergeCell ref="A588:A589"/>
    <mergeCell ref="B588:B589"/>
    <mergeCell ref="D588:D589"/>
    <mergeCell ref="E588:E589"/>
    <mergeCell ref="F588:F589"/>
    <mergeCell ref="M484:M485"/>
    <mergeCell ref="I499:I500"/>
    <mergeCell ref="J497:J498"/>
    <mergeCell ref="I501:I502"/>
    <mergeCell ref="J501:J502"/>
    <mergeCell ref="K501:K502"/>
    <mergeCell ref="K497:K498"/>
    <mergeCell ref="J499:J500"/>
    <mergeCell ref="K499:K500"/>
    <mergeCell ref="I497:I498"/>
    <mergeCell ref="I484:I485"/>
    <mergeCell ref="A484:A485"/>
    <mergeCell ref="C499:C500"/>
    <mergeCell ref="D499:D500"/>
    <mergeCell ref="I440:I441"/>
    <mergeCell ref="J440:J441"/>
    <mergeCell ref="K440:K441"/>
    <mergeCell ref="F440:F441"/>
    <mergeCell ref="A440:A441"/>
    <mergeCell ref="B440:B441"/>
    <mergeCell ref="C440:C441"/>
    <mergeCell ref="D440:D441"/>
    <mergeCell ref="E440:E441"/>
    <mergeCell ref="A408:A409"/>
    <mergeCell ref="B408:B409"/>
    <mergeCell ref="C408:C409"/>
    <mergeCell ref="D408:D409"/>
    <mergeCell ref="E408:E409"/>
    <mergeCell ref="F408:F409"/>
    <mergeCell ref="J418:J419"/>
    <mergeCell ref="K418:K419"/>
    <mergeCell ref="A418:A419"/>
    <mergeCell ref="B418:B419"/>
    <mergeCell ref="C418:C419"/>
    <mergeCell ref="D418:D419"/>
    <mergeCell ref="A298:A299"/>
    <mergeCell ref="B298:B299"/>
    <mergeCell ref="C298:C299"/>
    <mergeCell ref="D298:D299"/>
    <mergeCell ref="E298:E299"/>
    <mergeCell ref="F298:F299"/>
    <mergeCell ref="A281:A282"/>
    <mergeCell ref="B281:B282"/>
    <mergeCell ref="C281:C282"/>
    <mergeCell ref="D281:D282"/>
    <mergeCell ref="E281:E282"/>
    <mergeCell ref="F281:F282"/>
    <mergeCell ref="C270:C271"/>
    <mergeCell ref="D270:D271"/>
    <mergeCell ref="E270:E271"/>
    <mergeCell ref="F270:F271"/>
    <mergeCell ref="A277:A279"/>
    <mergeCell ref="B277:B279"/>
    <mergeCell ref="C277:C279"/>
    <mergeCell ref="D277:D279"/>
    <mergeCell ref="E277:E279"/>
    <mergeCell ref="F277:F279"/>
    <mergeCell ref="A274:A275"/>
    <mergeCell ref="B274:B275"/>
    <mergeCell ref="C274:C275"/>
    <mergeCell ref="D274:D275"/>
    <mergeCell ref="E274:E275"/>
    <mergeCell ref="F274:F275"/>
    <mergeCell ref="I182:I183"/>
    <mergeCell ref="J182:J183"/>
    <mergeCell ref="K182:K183"/>
    <mergeCell ref="F180:F181"/>
    <mergeCell ref="A255:A256"/>
    <mergeCell ref="B255:B256"/>
    <mergeCell ref="C255:C256"/>
    <mergeCell ref="D255:D256"/>
    <mergeCell ref="E255:E256"/>
    <mergeCell ref="F255:F256"/>
    <mergeCell ref="A180:A181"/>
    <mergeCell ref="B180:B181"/>
    <mergeCell ref="C180:C181"/>
    <mergeCell ref="D180:D181"/>
    <mergeCell ref="E180:E181"/>
    <mergeCell ref="K217:K218"/>
    <mergeCell ref="I224:I225"/>
    <mergeCell ref="J224:J225"/>
    <mergeCell ref="K224:K225"/>
    <mergeCell ref="I217:I218"/>
    <mergeCell ref="A224:A225"/>
    <mergeCell ref="B224:B225"/>
    <mergeCell ref="C224:C225"/>
    <mergeCell ref="D224:D225"/>
    <mergeCell ref="K148:K149"/>
    <mergeCell ref="G144:G145"/>
    <mergeCell ref="H144:H145"/>
    <mergeCell ref="F118:F119"/>
    <mergeCell ref="A114:A116"/>
    <mergeCell ref="A118:A119"/>
    <mergeCell ref="F174:F175"/>
    <mergeCell ref="I174:I175"/>
    <mergeCell ref="J174:J175"/>
    <mergeCell ref="K174:K175"/>
    <mergeCell ref="A150:A151"/>
    <mergeCell ref="B150:B151"/>
    <mergeCell ref="C150:C151"/>
    <mergeCell ref="D150:D151"/>
    <mergeCell ref="E150:E151"/>
    <mergeCell ref="F150:F151"/>
    <mergeCell ref="A174:A175"/>
    <mergeCell ref="B174:B175"/>
    <mergeCell ref="C174:C175"/>
    <mergeCell ref="D174:D175"/>
    <mergeCell ref="E174:E175"/>
    <mergeCell ref="A148:A149"/>
    <mergeCell ref="B148:B149"/>
    <mergeCell ref="C148:C149"/>
    <mergeCell ref="D148:D149"/>
    <mergeCell ref="E148:E149"/>
    <mergeCell ref="F148:F149"/>
    <mergeCell ref="I148:I149"/>
    <mergeCell ref="J148:J149"/>
    <mergeCell ref="A144:A145"/>
    <mergeCell ref="B144:B145"/>
    <mergeCell ref="C144:C145"/>
    <mergeCell ref="D144:D145"/>
    <mergeCell ref="E144:E145"/>
    <mergeCell ref="F144:F145"/>
    <mergeCell ref="I144:I145"/>
    <mergeCell ref="G21:H21"/>
    <mergeCell ref="B15:C15"/>
    <mergeCell ref="B16:C16"/>
    <mergeCell ref="B17:C17"/>
    <mergeCell ref="B18:C18"/>
    <mergeCell ref="B19:C19"/>
    <mergeCell ref="B20:C20"/>
    <mergeCell ref="F114:F116"/>
    <mergeCell ref="F105:F106"/>
    <mergeCell ref="G74:G75"/>
    <mergeCell ref="H74:H75"/>
    <mergeCell ref="B114:B116"/>
    <mergeCell ref="C114:C116"/>
    <mergeCell ref="D114:D116"/>
    <mergeCell ref="E114:E116"/>
    <mergeCell ref="F109:F110"/>
    <mergeCell ref="J111:J112"/>
    <mergeCell ref="K111:K112"/>
    <mergeCell ref="I111:I112"/>
    <mergeCell ref="A111:A112"/>
    <mergeCell ref="B111:B112"/>
    <mergeCell ref="C111:C112"/>
    <mergeCell ref="D111:D112"/>
    <mergeCell ref="E111:E112"/>
    <mergeCell ref="F111:F112"/>
    <mergeCell ref="A107:A108"/>
    <mergeCell ref="A105:A106"/>
    <mergeCell ref="B105:B106"/>
    <mergeCell ref="C105:C106"/>
    <mergeCell ref="D105:D106"/>
    <mergeCell ref="E105:E106"/>
    <mergeCell ref="B118:B119"/>
    <mergeCell ref="C118:C119"/>
    <mergeCell ref="D118:D119"/>
    <mergeCell ref="E118:E119"/>
    <mergeCell ref="B109:B110"/>
    <mergeCell ref="C109:C110"/>
    <mergeCell ref="D109:D110"/>
    <mergeCell ref="E109:E110"/>
    <mergeCell ref="J109:J110"/>
    <mergeCell ref="B107:B108"/>
    <mergeCell ref="C107:C108"/>
    <mergeCell ref="D107:D108"/>
    <mergeCell ref="E107:E108"/>
    <mergeCell ref="F107:F108"/>
    <mergeCell ref="I107:I108"/>
    <mergeCell ref="J31:J33"/>
    <mergeCell ref="J74:J75"/>
    <mergeCell ref="I74:I75"/>
    <mergeCell ref="K31:K33"/>
    <mergeCell ref="A31:A33"/>
    <mergeCell ref="B31:B33"/>
    <mergeCell ref="C31:C33"/>
    <mergeCell ref="D31:D33"/>
    <mergeCell ref="E31:E33"/>
    <mergeCell ref="F31:F33"/>
    <mergeCell ref="I62:I63"/>
    <mergeCell ref="J62:J63"/>
    <mergeCell ref="K62:K63"/>
    <mergeCell ref="A62:A63"/>
    <mergeCell ref="B62:B63"/>
    <mergeCell ref="C62:C63"/>
    <mergeCell ref="D62:D63"/>
    <mergeCell ref="E62:E63"/>
    <mergeCell ref="F62:F63"/>
    <mergeCell ref="I31:I33"/>
    <mergeCell ref="K74:K75"/>
    <mergeCell ref="A74:A75"/>
    <mergeCell ref="B74:B75"/>
    <mergeCell ref="C74:C75"/>
    <mergeCell ref="D74:D75"/>
    <mergeCell ref="E74:E75"/>
    <mergeCell ref="F74:F75"/>
    <mergeCell ref="I167:I168"/>
    <mergeCell ref="J167:J168"/>
    <mergeCell ref="K167:K168"/>
    <mergeCell ref="F167:F168"/>
    <mergeCell ref="A167:A168"/>
    <mergeCell ref="B167:B168"/>
    <mergeCell ref="C167:C168"/>
    <mergeCell ref="D167:D168"/>
    <mergeCell ref="E167:E168"/>
    <mergeCell ref="J105:J106"/>
    <mergeCell ref="K105:K106"/>
    <mergeCell ref="I105:I106"/>
    <mergeCell ref="K109:K110"/>
    <mergeCell ref="J107:J108"/>
    <mergeCell ref="K107:K108"/>
    <mergeCell ref="A109:A110"/>
    <mergeCell ref="I109:I110"/>
    <mergeCell ref="C176:C177"/>
    <mergeCell ref="D176:D177"/>
    <mergeCell ref="E176:E177"/>
    <mergeCell ref="F176:F177"/>
    <mergeCell ref="A182:A183"/>
    <mergeCell ref="B182:B183"/>
    <mergeCell ref="C182:C183"/>
    <mergeCell ref="D182:D183"/>
    <mergeCell ref="E182:E183"/>
    <mergeCell ref="F182:F183"/>
    <mergeCell ref="A176:A177"/>
    <mergeCell ref="B176:B177"/>
    <mergeCell ref="E224:E225"/>
    <mergeCell ref="F224:F225"/>
    <mergeCell ref="A217:A218"/>
    <mergeCell ref="B217:B218"/>
    <mergeCell ref="C217:C218"/>
    <mergeCell ref="D217:D218"/>
    <mergeCell ref="E217:E218"/>
    <mergeCell ref="F217:F218"/>
    <mergeCell ref="A213:A215"/>
    <mergeCell ref="B213:B215"/>
    <mergeCell ref="C213:C215"/>
    <mergeCell ref="D213:D215"/>
    <mergeCell ref="E213:E215"/>
    <mergeCell ref="F213:F215"/>
    <mergeCell ref="A241:A242"/>
    <mergeCell ref="B241:B242"/>
    <mergeCell ref="C241:C242"/>
    <mergeCell ref="D241:D242"/>
    <mergeCell ref="E241:E242"/>
    <mergeCell ref="F241:F242"/>
    <mergeCell ref="I449:I450"/>
    <mergeCell ref="F449:F450"/>
    <mergeCell ref="F484:F485"/>
    <mergeCell ref="A471:A472"/>
    <mergeCell ref="B471:B472"/>
    <mergeCell ref="C471:C472"/>
    <mergeCell ref="D471:D472"/>
    <mergeCell ref="E471:E472"/>
    <mergeCell ref="A449:A450"/>
    <mergeCell ref="B449:B450"/>
    <mergeCell ref="C449:C450"/>
    <mergeCell ref="D449:D450"/>
    <mergeCell ref="E449:E450"/>
    <mergeCell ref="D484:D485"/>
    <mergeCell ref="E484:E485"/>
    <mergeCell ref="C484:C485"/>
    <mergeCell ref="A270:A271"/>
    <mergeCell ref="B270:B271"/>
    <mergeCell ref="A582:A584"/>
    <mergeCell ref="B582:B584"/>
    <mergeCell ref="A501:A502"/>
    <mergeCell ref="B501:B502"/>
    <mergeCell ref="C501:C502"/>
    <mergeCell ref="E497:E498"/>
    <mergeCell ref="E499:E500"/>
    <mergeCell ref="C497:C498"/>
    <mergeCell ref="D497:D498"/>
    <mergeCell ref="A497:A498"/>
    <mergeCell ref="B497:B498"/>
    <mergeCell ref="A499:A500"/>
    <mergeCell ref="B499:B500"/>
    <mergeCell ref="A579:A580"/>
    <mergeCell ref="B579:B580"/>
    <mergeCell ref="C579:C580"/>
    <mergeCell ref="D579:D580"/>
    <mergeCell ref="E579:E580"/>
    <mergeCell ref="C582:C584"/>
    <mergeCell ref="D582:D584"/>
    <mergeCell ref="E582:E584"/>
    <mergeCell ref="K582:K584"/>
    <mergeCell ref="I579:I580"/>
    <mergeCell ref="J579:J580"/>
    <mergeCell ref="F579:F580"/>
    <mergeCell ref="F600:F601"/>
    <mergeCell ref="I600:I601"/>
    <mergeCell ref="I594:I596"/>
    <mergeCell ref="F510:F511"/>
    <mergeCell ref="A561:A562"/>
    <mergeCell ref="B561:B562"/>
    <mergeCell ref="C561:C562"/>
    <mergeCell ref="D561:D562"/>
    <mergeCell ref="E561:E562"/>
    <mergeCell ref="F561:F562"/>
    <mergeCell ref="A510:A511"/>
    <mergeCell ref="B510:B511"/>
    <mergeCell ref="C510:C511"/>
    <mergeCell ref="D510:D511"/>
    <mergeCell ref="E510:E511"/>
    <mergeCell ref="A590:A592"/>
    <mergeCell ref="B590:B592"/>
    <mergeCell ref="C590:C592"/>
    <mergeCell ref="D590:D592"/>
    <mergeCell ref="E590:E592"/>
    <mergeCell ref="F582:F584"/>
    <mergeCell ref="J582:J584"/>
    <mergeCell ref="C588:C589"/>
    <mergeCell ref="I588:I589"/>
    <mergeCell ref="J588:J589"/>
    <mergeCell ref="B4:H4"/>
    <mergeCell ref="B1:H1"/>
    <mergeCell ref="B2:H2"/>
    <mergeCell ref="J241:J242"/>
    <mergeCell ref="G510:G511"/>
    <mergeCell ref="H510:H511"/>
    <mergeCell ref="I510:I511"/>
    <mergeCell ref="D501:D502"/>
    <mergeCell ref="E501:E502"/>
    <mergeCell ref="F501:F502"/>
    <mergeCell ref="F418:F419"/>
    <mergeCell ref="I418:I419"/>
    <mergeCell ref="E418:E419"/>
    <mergeCell ref="G418:G419"/>
    <mergeCell ref="H418:H419"/>
    <mergeCell ref="B484:B485"/>
    <mergeCell ref="F497:F498"/>
    <mergeCell ref="F499:F500"/>
    <mergeCell ref="F471:F472"/>
    <mergeCell ref="J602:J603"/>
    <mergeCell ref="K602:K603"/>
    <mergeCell ref="A602:A603"/>
    <mergeCell ref="B602:B603"/>
    <mergeCell ref="C602:C603"/>
    <mergeCell ref="D602:D603"/>
    <mergeCell ref="E602:E603"/>
    <mergeCell ref="A594:A596"/>
    <mergeCell ref="B594:B596"/>
    <mergeCell ref="C594:C596"/>
    <mergeCell ref="D594:D596"/>
    <mergeCell ref="E594:E596"/>
    <mergeCell ref="F594:F596"/>
    <mergeCell ref="F602:F603"/>
    <mergeCell ref="J594:J596"/>
    <mergeCell ref="K594:K596"/>
    <mergeCell ref="A600:A601"/>
    <mergeCell ref="B600:B601"/>
    <mergeCell ref="C600:C601"/>
    <mergeCell ref="D600:D601"/>
    <mergeCell ref="E600:E601"/>
    <mergeCell ref="O144:O145"/>
    <mergeCell ref="G114:G116"/>
    <mergeCell ref="H114:H116"/>
    <mergeCell ref="L114:L116"/>
    <mergeCell ref="M114:M116"/>
    <mergeCell ref="N114:N116"/>
    <mergeCell ref="O114:O116"/>
    <mergeCell ref="J114:J116"/>
    <mergeCell ref="K114:K116"/>
    <mergeCell ref="I118:I119"/>
    <mergeCell ref="J118:J119"/>
    <mergeCell ref="K118:K119"/>
    <mergeCell ref="I114:I116"/>
    <mergeCell ref="L144:L145"/>
    <mergeCell ref="M144:M145"/>
    <mergeCell ref="N144:N145"/>
    <mergeCell ref="J144:J145"/>
    <mergeCell ref="K144:K145"/>
    <mergeCell ref="M174:M175"/>
    <mergeCell ref="I180:I181"/>
    <mergeCell ref="J180:J181"/>
    <mergeCell ref="K180:K181"/>
    <mergeCell ref="J176:J177"/>
    <mergeCell ref="K176:K177"/>
    <mergeCell ref="I176:I177"/>
    <mergeCell ref="I150:I151"/>
    <mergeCell ref="J150:J151"/>
    <mergeCell ref="K150:K151"/>
    <mergeCell ref="M510:M511"/>
    <mergeCell ref="N510:N511"/>
    <mergeCell ref="O510:O511"/>
    <mergeCell ref="N501:N502"/>
    <mergeCell ref="O501:O502"/>
    <mergeCell ref="G180:G181"/>
    <mergeCell ref="H180:H181"/>
    <mergeCell ref="L180:L181"/>
    <mergeCell ref="M180:M181"/>
    <mergeCell ref="N180:N181"/>
    <mergeCell ref="O180:O181"/>
    <mergeCell ref="L418:L419"/>
    <mergeCell ref="M418:M419"/>
    <mergeCell ref="N418:N419"/>
    <mergeCell ref="O418:O419"/>
    <mergeCell ref="I270:I271"/>
    <mergeCell ref="J270:J271"/>
    <mergeCell ref="K270:K271"/>
    <mergeCell ref="I241:I242"/>
    <mergeCell ref="K241:K242"/>
    <mergeCell ref="I213:I215"/>
    <mergeCell ref="J213:J215"/>
    <mergeCell ref="K213:K215"/>
    <mergeCell ref="J217:J218"/>
  </mergeCells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123</cp:lastModifiedBy>
  <cp:lastPrinted>2020-11-18T10:11:36Z</cp:lastPrinted>
  <dcterms:created xsi:type="dcterms:W3CDTF">2013-11-07T08:01:25Z</dcterms:created>
  <dcterms:modified xsi:type="dcterms:W3CDTF">2022-08-04T05:57:33Z</dcterms:modified>
</cp:coreProperties>
</file>