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088"/>
  </bookViews>
  <sheets>
    <sheet name="2016" sheetId="9" r:id="rId1"/>
  </sheets>
  <calcPr calcId="145621"/>
</workbook>
</file>

<file path=xl/calcChain.xml><?xml version="1.0" encoding="utf-8"?>
<calcChain xmlns="http://schemas.openxmlformats.org/spreadsheetml/2006/main">
  <c r="N172" i="9" l="1"/>
  <c r="N132" i="9"/>
  <c r="N127" i="9"/>
  <c r="N59" i="9"/>
  <c r="N68" i="9" l="1"/>
  <c r="E15" i="9" l="1"/>
  <c r="N190" i="9" l="1"/>
  <c r="N123" i="9"/>
  <c r="N179" i="9"/>
  <c r="N180" i="9"/>
  <c r="N188" i="9"/>
  <c r="N108" i="9"/>
  <c r="N240" i="9"/>
  <c r="N234" i="9" l="1"/>
  <c r="N160" i="9"/>
  <c r="N91" i="9"/>
  <c r="N196" i="9" l="1"/>
  <c r="N185" i="9"/>
  <c r="G185" i="9" s="1"/>
  <c r="N186" i="9"/>
  <c r="G186" i="9" s="1"/>
  <c r="N67" i="9"/>
  <c r="G67" i="9" s="1"/>
  <c r="N38" i="9"/>
  <c r="G38" i="9" s="1"/>
  <c r="N187" i="9"/>
  <c r="G187" i="9" s="1"/>
  <c r="N198" i="9"/>
  <c r="G198" i="9" s="1"/>
  <c r="N182" i="9"/>
  <c r="G182" i="9" s="1"/>
  <c r="N173" i="9"/>
  <c r="G173" i="9" s="1"/>
  <c r="N228" i="9"/>
  <c r="N226" i="9"/>
  <c r="N199" i="9"/>
  <c r="G199" i="9" s="1"/>
  <c r="N200" i="9"/>
  <c r="G200" i="9" s="1"/>
  <c r="N136" i="9"/>
  <c r="G136" i="9" s="1"/>
  <c r="N137" i="9"/>
  <c r="N115" i="9"/>
  <c r="G115" i="9" s="1"/>
  <c r="N120" i="9"/>
  <c r="G120" i="9" s="1"/>
  <c r="N63" i="9"/>
  <c r="G63" i="9" s="1"/>
  <c r="N79" i="9"/>
  <c r="N214" i="9"/>
  <c r="G214" i="9" s="1"/>
  <c r="N60" i="9"/>
  <c r="G60" i="9" s="1"/>
  <c r="N49" i="9"/>
  <c r="N61" i="9"/>
  <c r="N27" i="9"/>
  <c r="N48" i="9"/>
  <c r="E16" i="9"/>
  <c r="E21" i="9" s="1"/>
  <c r="E23" i="9" s="1"/>
  <c r="N261" i="9"/>
  <c r="N262" i="9"/>
  <c r="G262" i="9" s="1"/>
  <c r="N260" i="9"/>
  <c r="G260" i="9" s="1"/>
  <c r="N259" i="9"/>
  <c r="N257" i="9"/>
  <c r="N258" i="9"/>
  <c r="N256" i="9"/>
  <c r="N255" i="9"/>
  <c r="G255" i="9" s="1"/>
  <c r="N254" i="9"/>
  <c r="N253" i="9"/>
  <c r="N252" i="9"/>
  <c r="N247" i="9"/>
  <c r="G247" i="9" s="1"/>
  <c r="N251" i="9"/>
  <c r="N250" i="9"/>
  <c r="N249" i="9"/>
  <c r="N248" i="9"/>
  <c r="G248" i="9" s="1"/>
  <c r="N246" i="9"/>
  <c r="G246" i="9" s="1"/>
  <c r="N244" i="9"/>
  <c r="N243" i="9"/>
  <c r="G243" i="9" s="1"/>
  <c r="N242" i="9"/>
  <c r="N241" i="9"/>
  <c r="G241" i="9" s="1"/>
  <c r="G240" i="9"/>
  <c r="N235" i="9"/>
  <c r="G235" i="9" s="1"/>
  <c r="N239" i="9"/>
  <c r="N238" i="9"/>
  <c r="N237" i="9"/>
  <c r="N236" i="9"/>
  <c r="G236" i="9" s="1"/>
  <c r="G234" i="9"/>
  <c r="N233" i="9"/>
  <c r="G233" i="9" s="1"/>
  <c r="N232" i="9"/>
  <c r="G232" i="9" s="1"/>
  <c r="N231" i="9"/>
  <c r="G231" i="9"/>
  <c r="N230" i="9"/>
  <c r="G230" i="9" s="1"/>
  <c r="N225" i="9"/>
  <c r="N229" i="9"/>
  <c r="G228" i="9"/>
  <c r="N227" i="9"/>
  <c r="G227" i="9" s="1"/>
  <c r="N224" i="9"/>
  <c r="N223" i="9"/>
  <c r="N222" i="9"/>
  <c r="G226" i="9"/>
  <c r="N220" i="9"/>
  <c r="G220" i="9" s="1"/>
  <c r="N221" i="9"/>
  <c r="N219" i="9"/>
  <c r="G219" i="9" s="1"/>
  <c r="N216" i="9"/>
  <c r="N218" i="9"/>
  <c r="N217" i="9"/>
  <c r="N215" i="9"/>
  <c r="N213" i="9"/>
  <c r="N212" i="9"/>
  <c r="G212" i="9" s="1"/>
  <c r="N211" i="9"/>
  <c r="G211" i="9" s="1"/>
  <c r="N210" i="9"/>
  <c r="N209" i="9"/>
  <c r="N208" i="9"/>
  <c r="G208" i="9" s="1"/>
  <c r="N207" i="9"/>
  <c r="N206" i="9"/>
  <c r="N205" i="9"/>
  <c r="N204" i="9"/>
  <c r="G204" i="9" s="1"/>
  <c r="N203" i="9"/>
  <c r="G203" i="9" s="1"/>
  <c r="N202" i="9"/>
  <c r="N201" i="9"/>
  <c r="N197" i="9"/>
  <c r="G197" i="9" s="1"/>
  <c r="G196" i="9"/>
  <c r="N195" i="9"/>
  <c r="N193" i="9"/>
  <c r="N192" i="9"/>
  <c r="G192" i="9" s="1"/>
  <c r="N191" i="9"/>
  <c r="G190" i="9"/>
  <c r="N189" i="9"/>
  <c r="G189" i="9" s="1"/>
  <c r="G188" i="9"/>
  <c r="N184" i="9"/>
  <c r="N183" i="9"/>
  <c r="N181" i="9"/>
  <c r="G181" i="9" s="1"/>
  <c r="G180" i="9"/>
  <c r="G179" i="9"/>
  <c r="N178" i="9"/>
  <c r="G178" i="9" s="1"/>
  <c r="N177" i="9"/>
  <c r="G177" i="9" s="1"/>
  <c r="N176" i="9"/>
  <c r="G176" i="9" s="1"/>
  <c r="N175" i="9"/>
  <c r="N174" i="9"/>
  <c r="G172" i="9"/>
  <c r="N171" i="9"/>
  <c r="N170" i="9"/>
  <c r="G170" i="9" s="1"/>
  <c r="N169" i="9"/>
  <c r="G169" i="9" s="1"/>
  <c r="N168" i="9"/>
  <c r="G168" i="9" s="1"/>
  <c r="N159" i="9"/>
  <c r="N166" i="9"/>
  <c r="N156" i="9"/>
  <c r="N167" i="9"/>
  <c r="G167" i="9" s="1"/>
  <c r="N163" i="9"/>
  <c r="G163" i="9" s="1"/>
  <c r="N162" i="9"/>
  <c r="G162" i="9" s="1"/>
  <c r="N158" i="9"/>
  <c r="N155" i="9"/>
  <c r="N161" i="9"/>
  <c r="N164" i="9"/>
  <c r="N165" i="9"/>
  <c r="N157" i="9"/>
  <c r="N154" i="9"/>
  <c r="N151" i="9"/>
  <c r="N153" i="9"/>
  <c r="G153" i="9" s="1"/>
  <c r="N152" i="9"/>
  <c r="G152" i="9" s="1"/>
  <c r="N149" i="9"/>
  <c r="N150" i="9"/>
  <c r="N143" i="9"/>
  <c r="N141" i="9"/>
  <c r="N148" i="9"/>
  <c r="N147" i="9"/>
  <c r="G147" i="9" s="1"/>
  <c r="N146" i="9"/>
  <c r="G146" i="9" s="1"/>
  <c r="N145" i="9"/>
  <c r="G145" i="9" s="1"/>
  <c r="N144" i="9"/>
  <c r="G144" i="9" s="1"/>
  <c r="N142" i="9"/>
  <c r="N140" i="9"/>
  <c r="N139" i="9"/>
  <c r="N138" i="9"/>
  <c r="G137" i="9"/>
  <c r="N135" i="9"/>
  <c r="G135" i="9" s="1"/>
  <c r="N134" i="9"/>
  <c r="G134" i="9" s="1"/>
  <c r="N133" i="9"/>
  <c r="N130" i="9"/>
  <c r="N129" i="9"/>
  <c r="G132" i="9"/>
  <c r="N131" i="9"/>
  <c r="N128" i="9"/>
  <c r="N126" i="9"/>
  <c r="N124" i="9"/>
  <c r="G124" i="9" s="1"/>
  <c r="N125" i="9"/>
  <c r="G125" i="9" s="1"/>
  <c r="G123" i="9"/>
  <c r="N122" i="9"/>
  <c r="N121" i="9"/>
  <c r="N119" i="9"/>
  <c r="N118" i="9"/>
  <c r="N117" i="9"/>
  <c r="G117" i="9" s="1"/>
  <c r="N116" i="9"/>
  <c r="G116" i="9" s="1"/>
  <c r="N114" i="9"/>
  <c r="G114" i="9" s="1"/>
  <c r="N113" i="9"/>
  <c r="G113" i="9" s="1"/>
  <c r="N112" i="9"/>
  <c r="G112" i="9" s="1"/>
  <c r="N111" i="9"/>
  <c r="G111" i="9" s="1"/>
  <c r="N110" i="9"/>
  <c r="G110" i="9" s="1"/>
  <c r="N109" i="9"/>
  <c r="G109" i="9" s="1"/>
  <c r="G108" i="9"/>
  <c r="N95" i="9"/>
  <c r="N107" i="9"/>
  <c r="N106" i="9"/>
  <c r="N105" i="9"/>
  <c r="N104" i="9"/>
  <c r="N103" i="9"/>
  <c r="G103" i="9" s="1"/>
  <c r="N102" i="9"/>
  <c r="N101" i="9"/>
  <c r="N100" i="9"/>
  <c r="G100" i="9" s="1"/>
  <c r="N99" i="9"/>
  <c r="G99" i="9" s="1"/>
  <c r="N97" i="9"/>
  <c r="N98" i="9"/>
  <c r="N88" i="9"/>
  <c r="N96" i="9"/>
  <c r="N94" i="9"/>
  <c r="N93" i="9"/>
  <c r="N92" i="9"/>
  <c r="G91" i="9"/>
  <c r="N90" i="9"/>
  <c r="G90" i="9" s="1"/>
  <c r="N89" i="9"/>
  <c r="G89" i="9" s="1"/>
  <c r="N87" i="9"/>
  <c r="G87" i="9" s="1"/>
  <c r="N86" i="9"/>
  <c r="G86" i="9" s="1"/>
  <c r="N85" i="9"/>
  <c r="N84" i="9"/>
  <c r="G84" i="9" s="1"/>
  <c r="N83" i="9"/>
  <c r="N82" i="9"/>
  <c r="N81" i="9"/>
  <c r="G81" i="9" s="1"/>
  <c r="N80" i="9"/>
  <c r="F22" i="9"/>
  <c r="G79" i="9"/>
  <c r="N78" i="9"/>
  <c r="G78" i="9" s="1"/>
  <c r="N75" i="9"/>
  <c r="N72" i="9"/>
  <c r="N76" i="9"/>
  <c r="N74" i="9"/>
  <c r="N73" i="9"/>
  <c r="N71" i="9"/>
  <c r="N70" i="9"/>
  <c r="N69" i="9"/>
  <c r="N66" i="9"/>
  <c r="N65" i="9"/>
  <c r="N64" i="9"/>
  <c r="G64" i="9" s="1"/>
  <c r="G59" i="9"/>
  <c r="N62" i="9"/>
  <c r="N58" i="9"/>
  <c r="G58" i="9" s="1"/>
  <c r="N57" i="9"/>
  <c r="G57" i="9" s="1"/>
  <c r="N56" i="9"/>
  <c r="G56" i="9" s="1"/>
  <c r="N55" i="9"/>
  <c r="N54" i="9"/>
  <c r="N53" i="9"/>
  <c r="N52" i="9"/>
  <c r="N42" i="9"/>
  <c r="N51" i="9"/>
  <c r="N50" i="9"/>
  <c r="G50" i="9" s="1"/>
  <c r="G49" i="9"/>
  <c r="G48" i="9"/>
  <c r="N47" i="9"/>
  <c r="G47" i="9" s="1"/>
  <c r="N46" i="9"/>
  <c r="G46" i="9" s="1"/>
  <c r="N45" i="9"/>
  <c r="G45" i="9" s="1"/>
  <c r="N44" i="9"/>
  <c r="G44" i="9" s="1"/>
  <c r="N43" i="9"/>
  <c r="G43" i="9" s="1"/>
  <c r="N41" i="9"/>
  <c r="N40" i="9"/>
  <c r="N39" i="9"/>
  <c r="N37" i="9"/>
  <c r="N36" i="9"/>
  <c r="N35" i="9"/>
  <c r="N34" i="9"/>
  <c r="N33" i="9"/>
  <c r="N32" i="9"/>
  <c r="N31" i="9"/>
  <c r="N30" i="9"/>
  <c r="N29" i="9"/>
  <c r="N28" i="9"/>
  <c r="G28" i="9" s="1"/>
  <c r="G27" i="9"/>
  <c r="D22" i="9"/>
  <c r="D16" i="9"/>
  <c r="D21" i="9" s="1"/>
  <c r="D23" i="9" s="1"/>
  <c r="N264" i="9" l="1"/>
  <c r="F15" i="9" s="1"/>
  <c r="F16" i="9" s="1"/>
  <c r="F21" i="9" s="1"/>
  <c r="G61" i="9"/>
  <c r="G264" i="9" s="1"/>
</calcChain>
</file>

<file path=xl/sharedStrings.xml><?xml version="1.0" encoding="utf-8"?>
<sst xmlns="http://schemas.openxmlformats.org/spreadsheetml/2006/main" count="1393" uniqueCount="629">
  <si>
    <t xml:space="preserve">ОТЧЕТ «Подари детям Жизнь» </t>
  </si>
  <si>
    <t>Дети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</si>
  <si>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</si>
  <si>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</si>
  <si>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</si>
  <si>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</si>
  <si>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</si>
  <si>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</si>
  <si>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 xml:space="preserve">Спонсоры </t>
  </si>
  <si>
    <t xml:space="preserve">Курс USD на день оплаты </t>
  </si>
  <si>
    <t xml:space="preserve">Курс валюты на день оплаты </t>
  </si>
  <si>
    <t>Дата оплаты</t>
  </si>
  <si>
    <t>Тулендиева Камила</t>
  </si>
  <si>
    <t>врожденная дисфункция коры надпочечников</t>
  </si>
  <si>
    <t>Федорина Ульяна</t>
  </si>
  <si>
    <t>врожденный порок сердца</t>
  </si>
  <si>
    <t>Канатбекова Аружан</t>
  </si>
  <si>
    <t>ретинопатия недоношенных</t>
  </si>
  <si>
    <t>АО «Самрук-Қазына»</t>
  </si>
  <si>
    <t>ДЦП</t>
  </si>
  <si>
    <t>Алтай Арнат</t>
  </si>
  <si>
    <t>Козлов Марк</t>
  </si>
  <si>
    <t>Литвинова София</t>
  </si>
  <si>
    <t>3 800 USD</t>
  </si>
  <si>
    <t>Кожанов Ерасыл</t>
  </si>
  <si>
    <t>9 000 USD</t>
  </si>
  <si>
    <t>Нуртай Руслана</t>
  </si>
  <si>
    <t>Пахомова Арина</t>
  </si>
  <si>
    <t>Богачев Тимофей</t>
  </si>
  <si>
    <t>долларов США</t>
  </si>
  <si>
    <t>Гололобов Иван</t>
  </si>
  <si>
    <t>опухоль головного мозга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</si>
  <si>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</si>
  <si>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</si>
  <si>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Всего детей</t>
  </si>
  <si>
    <t>KZT</t>
  </si>
  <si>
    <t>стеноз гортани</t>
  </si>
  <si>
    <t>АНО Клиника травматологии,ортопедии и нейрохирургии НИИТО</t>
  </si>
  <si>
    <t>Джинджонг (Китай), госпиталь Шанси</t>
  </si>
  <si>
    <t>Шайзада Батырхан</t>
  </si>
  <si>
    <t>7 000 USD</t>
  </si>
  <si>
    <t>2 000 USD</t>
  </si>
  <si>
    <t>3 000 USD</t>
  </si>
  <si>
    <t>Богданова Карина</t>
  </si>
  <si>
    <t>90 600 RUB</t>
  </si>
  <si>
    <t>Максименко Дмитрий</t>
  </si>
  <si>
    <t>Дели (Индия), Клиника Фортис</t>
  </si>
  <si>
    <t>4 000 USD</t>
  </si>
  <si>
    <t>Челябинск,ООО Медицинский центр Сакура</t>
  </si>
  <si>
    <t>5 000 USD</t>
  </si>
  <si>
    <t>1 500 USD</t>
  </si>
  <si>
    <t>2 500 USD</t>
  </si>
  <si>
    <t>Сеул (Корея), Клиника Lim Dong</t>
  </si>
  <si>
    <t>Кушенева Камила</t>
  </si>
  <si>
    <t>Годяева Ксения</t>
  </si>
  <si>
    <t>тотальная алопеция, атопический дерматит</t>
  </si>
  <si>
    <t>Опухоль Вильмса</t>
  </si>
  <si>
    <t>Благодарный Максим</t>
  </si>
  <si>
    <t xml:space="preserve"> 9 000 USD</t>
  </si>
  <si>
    <t>Латыпова Анастасия</t>
  </si>
  <si>
    <t xml:space="preserve"> 8 000 USD</t>
  </si>
  <si>
    <t xml:space="preserve"> 2 000 USD</t>
  </si>
  <si>
    <t xml:space="preserve"> 3 000 USD</t>
  </si>
  <si>
    <t>Кали Айбек</t>
  </si>
  <si>
    <t>Федин Илья</t>
  </si>
  <si>
    <t>ПДЖ</t>
  </si>
  <si>
    <t>Жолдасов Мерей</t>
  </si>
  <si>
    <t>Бурдакова Виктория</t>
  </si>
  <si>
    <t>Нейроинфекция</t>
  </si>
  <si>
    <t>УФК по Томской области ФГБУ НИИ кардиологии СО РАМН</t>
  </si>
  <si>
    <t>Сумма в тенге</t>
  </si>
  <si>
    <t>Горвард Владислав</t>
  </si>
  <si>
    <t>Тлеумбет Айгерим</t>
  </si>
  <si>
    <t>Берикбай Мерей</t>
  </si>
  <si>
    <t>8 000 USD</t>
  </si>
  <si>
    <t>Парфенова Анастасия</t>
  </si>
  <si>
    <t>артрогрипоз верхних конечностей</t>
  </si>
  <si>
    <t>Григорьева Вероника</t>
  </si>
  <si>
    <t>УФК по Ленинградской обл. ЛОГБУЗ</t>
  </si>
  <si>
    <t>2 200 USD</t>
  </si>
  <si>
    <t>Тиль Валерия</t>
  </si>
  <si>
    <t>ООО ПрогнозМед</t>
  </si>
  <si>
    <t>Буртаева Аида</t>
  </si>
  <si>
    <t>ГБОУ ВПО СПбГПМУ Минздрава России</t>
  </si>
  <si>
    <t>2015, доплата</t>
  </si>
  <si>
    <t>Алибек Аманат</t>
  </si>
  <si>
    <t>3 998 USD</t>
  </si>
  <si>
    <t>Реабилитационный центр "Адели"."ADELI" s.r.o.Словакия.</t>
  </si>
  <si>
    <t>Павлова Валерия</t>
  </si>
  <si>
    <t>синдактелия</t>
  </si>
  <si>
    <t>Кабылбек Лана</t>
  </si>
  <si>
    <t>Тахирова Чарос</t>
  </si>
  <si>
    <t>1 000 USD</t>
  </si>
  <si>
    <t>Kadikoy sifa hastanesi A.S.</t>
  </si>
  <si>
    <t>Партнёры (фонды и компании), 2007- 2010</t>
  </si>
  <si>
    <t>"Российский фонд Помощи", 2009-2010</t>
  </si>
  <si>
    <t>Частные спонсоры, 2007-2012</t>
  </si>
  <si>
    <t>Кудинова Ангелина</t>
  </si>
  <si>
    <r>
      <t xml:space="preserve">Операции/курсы лечения </t>
    </r>
    <r>
      <rPr>
        <sz val="10"/>
        <rFont val="Verdana"/>
        <family val="2"/>
        <charset val="204"/>
      </rPr>
      <t>(некоторые дети были прооперированы 2 и более раз)</t>
    </r>
  </si>
  <si>
    <t>Жумабек Ералы</t>
  </si>
  <si>
    <t>ООО Реабилитационный центр Сакура</t>
  </si>
  <si>
    <t>ООО Медицинский центр Сакура</t>
  </si>
  <si>
    <t>ООО Кортексмед</t>
  </si>
  <si>
    <t>Beijing shouer liqiao childrens hospital CO LTD</t>
  </si>
  <si>
    <t>Габдулова Инжу</t>
  </si>
  <si>
    <t>23 100 CNY</t>
  </si>
  <si>
    <t>Габдулов Мухтар</t>
  </si>
  <si>
    <t>дисфункция коры надпочечников</t>
  </si>
  <si>
    <t>Брусенская София</t>
  </si>
  <si>
    <t>Хафизов Тимур</t>
  </si>
  <si>
    <t>закрытая тежелая черепно-мозговая травма</t>
  </si>
  <si>
    <t>состояние после перенесенного острого эпифизарного гематогенного остеомелита</t>
  </si>
  <si>
    <t>УФК по г.Москве ФГБУ РДКБ МЗ России</t>
  </si>
  <si>
    <t>Bilesim Turizm ins.san.ve tic A.S.</t>
  </si>
  <si>
    <t>Рустем Айару</t>
  </si>
  <si>
    <t>папилломатоз гортани, рецедивирующее лечение</t>
  </si>
  <si>
    <t>Папиломатоз гортани,рецедивирующее лечение</t>
  </si>
  <si>
    <t>УФК по г.Санкт-Петербургу ОФК10, ФГБУ С3ФМИЦ МЗ России</t>
  </si>
  <si>
    <t>Толеген Алихан</t>
  </si>
  <si>
    <t>Лейкодистрофия</t>
  </si>
  <si>
    <t>Yuncheng city second peoples hospital of yanhu district</t>
  </si>
  <si>
    <t xml:space="preserve">Yuncheng research institute of scalp hospital </t>
  </si>
  <si>
    <t>Xi An Brain Disease Hospital Of TCM</t>
  </si>
  <si>
    <t>Кумисбек Абилмансур</t>
  </si>
  <si>
    <t>Севестрация и кистообразование желудочков мозга</t>
  </si>
  <si>
    <t>Хамит Асылбек</t>
  </si>
  <si>
    <t>Паппиломатоз гортани</t>
  </si>
  <si>
    <t>1 200 USD</t>
  </si>
  <si>
    <t>ЗПР,симптоматическая эпилепсия</t>
  </si>
  <si>
    <t>5 300 USD</t>
  </si>
  <si>
    <t>Government institution The scien-pract childrens cardiac center</t>
  </si>
  <si>
    <t>ВПР мочевыводительной системы,дивертикул мочевого пузыря</t>
  </si>
  <si>
    <t>Частичная атрофия зрительного нерва</t>
  </si>
  <si>
    <t>УФК по Республике Башкортостан ФГБУ ВЦГПХ МЗ России</t>
  </si>
  <si>
    <t>Хайролла Амина</t>
  </si>
  <si>
    <t>Абитай Инкар</t>
  </si>
  <si>
    <t>Амангельдиева Асель</t>
  </si>
  <si>
    <t>Ретинобластома 3 стадия</t>
  </si>
  <si>
    <t>Муратов Дарын</t>
  </si>
  <si>
    <t>Ретинопатия недоношенных</t>
  </si>
  <si>
    <t>Григорьева Радамира</t>
  </si>
  <si>
    <t>Милхолдарова Ильдана</t>
  </si>
  <si>
    <t>Врожденная миопатия,эндолюбальная нейрометоболическая операция </t>
  </si>
  <si>
    <t>ЗАО Клиника Санитас</t>
  </si>
  <si>
    <t>400 000 RUB</t>
  </si>
  <si>
    <t>ВПС,атрезия легочной артерии4 типа,НК2,ФЛ3</t>
  </si>
  <si>
    <t>папилломатоз гортани, распространённая форма, рубцовый стеноз гортани DHI 2 степени</t>
  </si>
  <si>
    <t>Хрипченко Эвелина</t>
  </si>
  <si>
    <t>Муковисцидоз</t>
  </si>
  <si>
    <t>Андрейченко Анна</t>
  </si>
  <si>
    <t>Синдактилия обеих кистей</t>
  </si>
  <si>
    <t>УФК по г. С-Петербург ФГБУ НИДОИ им.Г.И.Турнера, Минздрава России</t>
  </si>
  <si>
    <t xml:space="preserve">Ерланов Сулейман </t>
  </si>
  <si>
    <t>ХПН 3 стадия,ВПР мочевыводительной системы</t>
  </si>
  <si>
    <t>Мухамеджанова Рамина</t>
  </si>
  <si>
    <t>Дмитриенко Людмила</t>
  </si>
  <si>
    <t>3 855 USD</t>
  </si>
  <si>
    <t>Куликова Вероника</t>
  </si>
  <si>
    <t>Смирнов Виктор</t>
  </si>
  <si>
    <t>Муковисцидоз,ДН 2 степени</t>
  </si>
  <si>
    <t>УФК по г.Москве ФГБУ НЦЗД МЗ России</t>
  </si>
  <si>
    <t>243,15</t>
  </si>
  <si>
    <t>Умитжанкызы Жасмина</t>
  </si>
  <si>
    <t>склерокорнея, тотальная воронкообразная отслойка сетчатки</t>
  </si>
  <si>
    <t>Омфалоцеле,ВПС ДМЖП в мембранной части</t>
  </si>
  <si>
    <t>Аплазия обеих надколенников с вывихом обеих голеней</t>
  </si>
  <si>
    <t>Амангельды Мадина</t>
  </si>
  <si>
    <t>Темиралиев Аттила</t>
  </si>
  <si>
    <t>Рабдомиасаркома брюшной полости</t>
  </si>
  <si>
    <t>Всего со счёта ОФ "ДОМ" 2007 - 2016</t>
  </si>
  <si>
    <t>ВСЕГО ПО АКЦИИ "ПОДАРИ ДЕТЯМ ЖИЗНЬ" 2007 - 2016</t>
  </si>
  <si>
    <t>ООО Реацентр Оренбургский</t>
  </si>
  <si>
    <t>Кол-во операций в 2016</t>
  </si>
  <si>
    <t>Кол-во операций 2007 -2016</t>
  </si>
  <si>
    <t>2016, 2 курс/леч.</t>
  </si>
  <si>
    <t>2016, 3 операция</t>
  </si>
  <si>
    <t xml:space="preserve"> 74 683 RUB</t>
  </si>
  <si>
    <t>3 600 USD</t>
  </si>
  <si>
    <t>ВСЕГО ЗА 2016</t>
  </si>
  <si>
    <t>1 400 USD</t>
  </si>
  <si>
    <t>Рашаев Кушали</t>
  </si>
  <si>
    <t>Агнезия правой почки,ХПН ед.левой почки,нейрогеннная дисфункция мочевого пузыря</t>
  </si>
  <si>
    <t>Атакелды Амина</t>
  </si>
  <si>
    <t>Воронкообразная деформация грудной клетки со сдавлением легкого</t>
  </si>
  <si>
    <t>Ахметжанова Асем</t>
  </si>
  <si>
    <t>Простолюдов Арсений</t>
  </si>
  <si>
    <t>Синдром Аппера,ВПС ОАП,ВПР ЦНС </t>
  </si>
  <si>
    <t xml:space="preserve">Ершова Ирина </t>
  </si>
  <si>
    <t>400 USD</t>
  </si>
  <si>
    <t>2016, 4 операция</t>
  </si>
  <si>
    <t>3 750 USD</t>
  </si>
  <si>
    <t>08.01.2016г.</t>
  </si>
  <si>
    <t>11.01.2016г.</t>
  </si>
  <si>
    <t>12.01.2016г.</t>
  </si>
  <si>
    <t>18.01.2016г.</t>
  </si>
  <si>
    <t>19.01.2016г.</t>
  </si>
  <si>
    <t>21.01.2016г.</t>
  </si>
  <si>
    <t>26.01.2016г.</t>
  </si>
  <si>
    <t>27.01.2016г.</t>
  </si>
  <si>
    <t>28.01.2016г.</t>
  </si>
  <si>
    <t>29.01.2016г.</t>
  </si>
  <si>
    <t>02.02.2016г.</t>
  </si>
  <si>
    <t>2016, доплата</t>
  </si>
  <si>
    <t>04.02.2016г.</t>
  </si>
  <si>
    <t>Жумажанов Кайрат</t>
  </si>
  <si>
    <t xml:space="preserve"> 183 800 RUB</t>
  </si>
  <si>
    <t>05.02.2016г.</t>
  </si>
  <si>
    <t>Морин Дмитрий</t>
  </si>
  <si>
    <t xml:space="preserve"> 121 900 RUB</t>
  </si>
  <si>
    <t>Бишибеков Али</t>
  </si>
  <si>
    <t>ООО Реацентр Самара</t>
  </si>
  <si>
    <t xml:space="preserve"> 144 750 RUB</t>
  </si>
  <si>
    <t>Юнусалыев Атажан</t>
  </si>
  <si>
    <t xml:space="preserve"> 146 250 RUB</t>
  </si>
  <si>
    <t>Нуржанулы Алибек</t>
  </si>
  <si>
    <t xml:space="preserve"> 164 500 RUB</t>
  </si>
  <si>
    <t>Камытбек Гулим</t>
  </si>
  <si>
    <t>АО «Самрук-Қазына» (по остаткам в клинике)</t>
  </si>
  <si>
    <t>Бауржан Гульжазира</t>
  </si>
  <si>
    <t>ПДЖ - Акимат Астаны</t>
  </si>
  <si>
    <t>Серик Аружан</t>
  </si>
  <si>
    <t xml:space="preserve"> 143 700 RUB</t>
  </si>
  <si>
    <t>2016, 2 операция</t>
  </si>
  <si>
    <t>1 521 USD</t>
  </si>
  <si>
    <t>09.02.2016г.</t>
  </si>
  <si>
    <t>Канатжан Динмухамед</t>
  </si>
  <si>
    <t>ПДЖ - частный спонсор</t>
  </si>
  <si>
    <t>Берик Амина</t>
  </si>
  <si>
    <t>3 999 USD</t>
  </si>
  <si>
    <t>Аманшина Ляйсан</t>
  </si>
  <si>
    <t>3 730 USD</t>
  </si>
  <si>
    <t>Хубиев Муслим</t>
  </si>
  <si>
    <t>Ермекбаев Торекелды</t>
  </si>
  <si>
    <t xml:space="preserve"> 179 600 RUB</t>
  </si>
  <si>
    <t>Симанович Андрей</t>
  </si>
  <si>
    <t xml:space="preserve"> 157 300 RUB</t>
  </si>
  <si>
    <t>10.02.2016г.</t>
  </si>
  <si>
    <t>Ерканаткызы Танита</t>
  </si>
  <si>
    <t>2 538,10 ЕUR</t>
  </si>
  <si>
    <t>Ербосын Абылкасым</t>
  </si>
  <si>
    <t>Дауренбек Батырбек</t>
  </si>
  <si>
    <t>Есенберды Айбулан</t>
  </si>
  <si>
    <t>11.02.2016г.</t>
  </si>
  <si>
    <t>Махаметов Эмир</t>
  </si>
  <si>
    <t>Глутаровая ацидурия 1 типа</t>
  </si>
  <si>
    <t>12.02.2016г.</t>
  </si>
  <si>
    <t>2016, 5 курс лечения</t>
  </si>
  <si>
    <t>28 150 RUB</t>
  </si>
  <si>
    <t>Литвинов Дмитрий</t>
  </si>
  <si>
    <t>Анкилоз височно-нижнечелюстных суставов</t>
  </si>
  <si>
    <t>7 500 USD</t>
  </si>
  <si>
    <t xml:space="preserve">УФК по г.Москве ФГБУ НЦЗД РАМН </t>
  </si>
  <si>
    <t>16.02.2016г.</t>
  </si>
  <si>
    <t>ПДЖ, в т.ч. частное лицо - 10 000 тг.</t>
  </si>
  <si>
    <t>3 252 USD</t>
  </si>
  <si>
    <t>26.02.2016г.</t>
  </si>
  <si>
    <t>Фафурдинов Сагид</t>
  </si>
  <si>
    <t>Первичный иммунодифицит,реакция трансплантант против хозяина</t>
  </si>
  <si>
    <t>29.02.2016г.</t>
  </si>
  <si>
    <t>2016, 5 операция</t>
  </si>
  <si>
    <t xml:space="preserve">Зверев Иван </t>
  </si>
  <si>
    <t>Саркома мягких тканей,десмопластическая мелко-круглоклеточная опухоль.Спастический тетрапарез.</t>
  </si>
  <si>
    <t>02.03.2016г.</t>
  </si>
  <si>
    <t>106 300 RUB</t>
  </si>
  <si>
    <t>Атабай Айгерим</t>
  </si>
  <si>
    <t>09.03.2016г.</t>
  </si>
  <si>
    <t>Баядилова Айлин</t>
  </si>
  <si>
    <t>95 954,20 RUB</t>
  </si>
  <si>
    <t>17.03.2016г.</t>
  </si>
  <si>
    <t>7 320 USD</t>
  </si>
  <si>
    <t>Синильникова Вера</t>
  </si>
  <si>
    <t>Адамантиномоподобная краниофарингиома</t>
  </si>
  <si>
    <t>225 000 RUB</t>
  </si>
  <si>
    <t>24.03.2016г.</t>
  </si>
  <si>
    <t>01.04.2016г.</t>
  </si>
  <si>
    <t>85 500 RUB</t>
  </si>
  <si>
    <t>2016, 6 курс/леч.</t>
  </si>
  <si>
    <t xml:space="preserve">ООО Клиника </t>
  </si>
  <si>
    <t>Садыкова Амелия</t>
  </si>
  <si>
    <t>Нефробластома правой почки,опухоль Вильмса</t>
  </si>
  <si>
    <t>11.04.2016г.</t>
  </si>
  <si>
    <t>17 450 RUB</t>
  </si>
  <si>
    <t>12.04.2016г.</t>
  </si>
  <si>
    <t>УФК по г.Москве ФГБНУ МГНЦ</t>
  </si>
  <si>
    <t>8 500 RUB</t>
  </si>
  <si>
    <t>Леончук Алан</t>
  </si>
  <si>
    <t>Нефробластома левой почки</t>
  </si>
  <si>
    <t>ГБУЗ НПЦ спец.мед.помощи детям ДЗМ</t>
  </si>
  <si>
    <t>13.04.2016г.</t>
  </si>
  <si>
    <t>Деформация крыш тазобедренного сустава и головки бедренных костей</t>
  </si>
  <si>
    <t>2016, 3 курс/леч.</t>
  </si>
  <si>
    <t>15.04.2016г.</t>
  </si>
  <si>
    <t>Cerebral palsy jinzhong city federation of the disabled rehabil hospital</t>
  </si>
  <si>
    <t xml:space="preserve"> 179 USD</t>
  </si>
  <si>
    <t>18.04.2016г.</t>
  </si>
  <si>
    <t>5 748 USD</t>
  </si>
  <si>
    <t>19.04.2016г.</t>
  </si>
  <si>
    <t xml:space="preserve"> 3 800 USD</t>
  </si>
  <si>
    <t>98 076 RUB</t>
  </si>
  <si>
    <t>20.04.2016г.</t>
  </si>
  <si>
    <t>34 100 RUB</t>
  </si>
  <si>
    <t>22.04.2016г.</t>
  </si>
  <si>
    <t>25.04.2016г.</t>
  </si>
  <si>
    <t>Абдыхан Асылхан</t>
  </si>
  <si>
    <t>Врожденная сквозная 2-х сторонняя расщелина неба</t>
  </si>
  <si>
    <t>Койшан Аиша</t>
  </si>
  <si>
    <t>95 962 RUB</t>
  </si>
  <si>
    <t>27.04.2016г.</t>
  </si>
  <si>
    <t>Трупанова Ольга</t>
  </si>
  <si>
    <t xml:space="preserve"> 295 USD</t>
  </si>
  <si>
    <t xml:space="preserve"> 565 USD</t>
  </si>
  <si>
    <t>28.04.2016г.</t>
  </si>
  <si>
    <t>7 800 USD</t>
  </si>
  <si>
    <t>03.05.2016г.</t>
  </si>
  <si>
    <t>190 200 RUB</t>
  </si>
  <si>
    <t>Муктаева Амина</t>
  </si>
  <si>
    <t>Фокальная эпилепсия,гипотериоз тяжелой формы</t>
  </si>
  <si>
    <t>189 000 RUB</t>
  </si>
  <si>
    <t>ПДЖ - Редпрайс</t>
  </si>
  <si>
    <t>05.05.2016г.</t>
  </si>
  <si>
    <t>14 600 RUB</t>
  </si>
  <si>
    <t>Кисилев Павел</t>
  </si>
  <si>
    <t>17 100 RUB</t>
  </si>
  <si>
    <t>06.05.2016г.</t>
  </si>
  <si>
    <t>11.05.2016г.</t>
  </si>
  <si>
    <t>450 000 RUB</t>
  </si>
  <si>
    <t>55 429 RUB</t>
  </si>
  <si>
    <t>13.05.2016г.</t>
  </si>
  <si>
    <t>16.05.2016г.</t>
  </si>
  <si>
    <t xml:space="preserve"> 3 378,44 USD</t>
  </si>
  <si>
    <t>17.05.2016г.</t>
  </si>
  <si>
    <t>44 760 RUB</t>
  </si>
  <si>
    <t>267 USD</t>
  </si>
  <si>
    <t>18.05.2016г.</t>
  </si>
  <si>
    <t>214 USD</t>
  </si>
  <si>
    <t>Темирова Жанайым</t>
  </si>
  <si>
    <t>Ретинопатия недоношенных 5 ст.</t>
  </si>
  <si>
    <t>20.05.2016г.</t>
  </si>
  <si>
    <t>16 000 RUB</t>
  </si>
  <si>
    <t>26.05.2016г.</t>
  </si>
  <si>
    <t>Хегай Артур</t>
  </si>
  <si>
    <t>31.05.2016г.</t>
  </si>
  <si>
    <t xml:space="preserve"> 2 191 USD</t>
  </si>
  <si>
    <t>01.06.2016г.</t>
  </si>
  <si>
    <t xml:space="preserve">ВПР </t>
  </si>
  <si>
    <t>Суржикова Анастасия</t>
  </si>
  <si>
    <t>Отрыв ушной раковины вследствие укуса собаки</t>
  </si>
  <si>
    <t>290 000 RUB</t>
  </si>
  <si>
    <t>02.06.2016г.</t>
  </si>
  <si>
    <t>Врожденная аномалия с обеих сторон, микротия и атрезия наружных слуховых проходов</t>
  </si>
  <si>
    <t>06.06.2016г.</t>
  </si>
  <si>
    <t>Оспан Дамир</t>
  </si>
  <si>
    <t>Маханбетали Инкар</t>
  </si>
  <si>
    <t>Врожденная двусторонняя атрезия слухового прохода</t>
  </si>
  <si>
    <t xml:space="preserve"> 6 750 USD</t>
  </si>
  <si>
    <t>Исмаилова Жаннель</t>
  </si>
  <si>
    <t>11 084 CNY</t>
  </si>
  <si>
    <t>07.06.2016г.</t>
  </si>
  <si>
    <t>100 190 RUB</t>
  </si>
  <si>
    <t>Ерген Нурлан</t>
  </si>
  <si>
    <t>99 199 RUB</t>
  </si>
  <si>
    <t>Мукпулова Дильназ</t>
  </si>
  <si>
    <t>104 694 RUB</t>
  </si>
  <si>
    <t xml:space="preserve"> 7 970 USD</t>
  </si>
  <si>
    <t xml:space="preserve"> 7 300 USD</t>
  </si>
  <si>
    <t>08.06.2016г.</t>
  </si>
  <si>
    <t>Берик Нурия</t>
  </si>
  <si>
    <t>6 731,48 ЕUR</t>
  </si>
  <si>
    <t>Серикказы Бакытжан</t>
  </si>
  <si>
    <t>67 484 RUB</t>
  </si>
  <si>
    <t>09.06.2016г.</t>
  </si>
  <si>
    <t>Лейкоз</t>
  </si>
  <si>
    <t>Абышева Тахмина</t>
  </si>
  <si>
    <t>27.06.2016г.</t>
  </si>
  <si>
    <t>Шерияздан Аспендияр</t>
  </si>
  <si>
    <t>Medipolitan Saglik Hizmetleri AS</t>
  </si>
  <si>
    <t xml:space="preserve"> 7 750 USD</t>
  </si>
  <si>
    <t>28.06.2016г.</t>
  </si>
  <si>
    <t>обширная кавернозная гемангиома лица</t>
  </si>
  <si>
    <t>57 900 RUB</t>
  </si>
  <si>
    <t>Касен Каусар</t>
  </si>
  <si>
    <t>Шынар Каусар</t>
  </si>
  <si>
    <t>Ретинобластома</t>
  </si>
  <si>
    <t>2016, 4 курс/леч.</t>
  </si>
  <si>
    <t>52 940 RUB</t>
  </si>
  <si>
    <t>29.06.2016г.</t>
  </si>
  <si>
    <t>6 150 USD</t>
  </si>
  <si>
    <t>19 553 RUB</t>
  </si>
  <si>
    <t>01.07.2016г.</t>
  </si>
  <si>
    <t>24 100 RUB</t>
  </si>
  <si>
    <t>04.07.2016г.</t>
  </si>
  <si>
    <t>9 400 RUB</t>
  </si>
  <si>
    <t>Сабитова Аэлита</t>
  </si>
  <si>
    <t>Несовершенный остеогенез</t>
  </si>
  <si>
    <t>Рахимбеков Инсар</t>
  </si>
  <si>
    <t>12 540 CNY</t>
  </si>
  <si>
    <t>Таласпай Алихан</t>
  </si>
  <si>
    <t>Синдром Леннокса-Гасто</t>
  </si>
  <si>
    <t>УФК по Тюменской области, ФГБУ ФЦН МЗ России</t>
  </si>
  <si>
    <t>05.07.2016г.</t>
  </si>
  <si>
    <t>ВПР, опухоль гортани</t>
  </si>
  <si>
    <t>2 010 USD</t>
  </si>
  <si>
    <t>12.07.2016г.</t>
  </si>
  <si>
    <t>364,45 USD</t>
  </si>
  <si>
    <t>15.07.2016г.</t>
  </si>
  <si>
    <t>78 250 RUB</t>
  </si>
  <si>
    <t>18.07.2016г.</t>
  </si>
  <si>
    <t>31 270 RUB</t>
  </si>
  <si>
    <t>20.07.2016г.</t>
  </si>
  <si>
    <t>333 253 RUB</t>
  </si>
  <si>
    <t>29.07.2016г.</t>
  </si>
  <si>
    <t>02.08.2016г.</t>
  </si>
  <si>
    <t>08.08.2016г.</t>
  </si>
  <si>
    <t>424 400 RUB</t>
  </si>
  <si>
    <t>18.08.2016г.</t>
  </si>
  <si>
    <t>16.08.2016г.</t>
  </si>
  <si>
    <t>Сандибек Алимхан</t>
  </si>
  <si>
    <t>Паппиломатоз гортани </t>
  </si>
  <si>
    <t>19.08.2016г.</t>
  </si>
  <si>
    <t>Калиева Диляра</t>
  </si>
  <si>
    <t>УФК по г.Москве ФГАУ НЦЗД Минздрава России</t>
  </si>
  <si>
    <t>144 020 RUB</t>
  </si>
  <si>
    <t>23.08.2016г.</t>
  </si>
  <si>
    <t>2016, 6 операция</t>
  </si>
  <si>
    <t>25.08.2016г.</t>
  </si>
  <si>
    <t>29.08.2016г.</t>
  </si>
  <si>
    <t>Яраполов Давид</t>
  </si>
  <si>
    <t>02.09.2016г.</t>
  </si>
  <si>
    <t>Скок Дмитрий</t>
  </si>
  <si>
    <t>44 829 RUB</t>
  </si>
  <si>
    <t>08.09.2016г.</t>
  </si>
  <si>
    <t>09.09.2016г.</t>
  </si>
  <si>
    <t>Врожденный буллезный эпидормолиз,дистрофическая форма</t>
  </si>
  <si>
    <t>Шайкемелов Аслан</t>
  </si>
  <si>
    <t>односторонняя полидотомия</t>
  </si>
  <si>
    <t>УФК по г.Москве ФГАУ НИИ НХ Минздрава России</t>
  </si>
  <si>
    <t>47 280 RUB</t>
  </si>
  <si>
    <t>13.09.2016г.</t>
  </si>
  <si>
    <t>Адилхан Айша</t>
  </si>
  <si>
    <t>ВПР,синдактилия всех пальцев обеих кистей</t>
  </si>
  <si>
    <t>19.09.2016г.</t>
  </si>
  <si>
    <t>22.09.2016г.</t>
  </si>
  <si>
    <t>23.09.2016г.</t>
  </si>
  <si>
    <t xml:space="preserve"> 550 USD</t>
  </si>
  <si>
    <t>Ергалиева Адия</t>
  </si>
  <si>
    <t>57 017 RUB</t>
  </si>
  <si>
    <t>26.09.2016г.</t>
  </si>
  <si>
    <t>59 567 RUB</t>
  </si>
  <si>
    <t>Нуржанкызы Акбаян</t>
  </si>
  <si>
    <t>Ахондроплазия,укорочение верхних и нижних конечностей</t>
  </si>
  <si>
    <t>LTD LADISTEN. Киев, Украина</t>
  </si>
  <si>
    <t>28.09.2016г.</t>
  </si>
  <si>
    <t>29.09.2016г.</t>
  </si>
  <si>
    <t>Омир-Серик Алихан</t>
  </si>
  <si>
    <t>СПБ ГБУЗ Детская городская больница 19 им.К.А.Раухфуса</t>
  </si>
  <si>
    <t>129 550 RUB</t>
  </si>
  <si>
    <t>03.10.2016г.</t>
  </si>
  <si>
    <t>4 500 USD</t>
  </si>
  <si>
    <t>10.10.2016г.</t>
  </si>
  <si>
    <t>Сраждинов Мухаммад</t>
  </si>
  <si>
    <t>ВПР, менингорадикулоцеле поястнично-крестцового отдела позвоночника,миелодистрофия</t>
  </si>
  <si>
    <t>7 400 USD</t>
  </si>
  <si>
    <t>Золотых Богдан</t>
  </si>
  <si>
    <t>160 070 RUB</t>
  </si>
  <si>
    <t>Левосторонний туберкулезный коксит бедра</t>
  </si>
  <si>
    <t>УФК по г.Санкт-Петербургу (Отдел 14, ФГБУ СПб НИИФ МЗ России)</t>
  </si>
  <si>
    <t>13.10.2016г.</t>
  </si>
  <si>
    <t>58 299 RUB</t>
  </si>
  <si>
    <t>14.10.2016г.</t>
  </si>
  <si>
    <t>Адаева Аружан</t>
  </si>
  <si>
    <t>мультикистоз</t>
  </si>
  <si>
    <t>17.10.2016г.</t>
  </si>
  <si>
    <t>18.10.2016г.</t>
  </si>
  <si>
    <t>Кривощекова Кристина</t>
  </si>
  <si>
    <t>Остеогенная саркома</t>
  </si>
  <si>
    <t>24.10.2016г.</t>
  </si>
  <si>
    <t>Жанибек Бекасыл</t>
  </si>
  <si>
    <t>Биллатеральная ретинобластома</t>
  </si>
  <si>
    <t>УФК по г.Москве ФГБУ РОНЦ им.Н.Н.Блохина МЗ России.</t>
  </si>
  <si>
    <t>500 000 RUB</t>
  </si>
  <si>
    <t>25.10.2016г.</t>
  </si>
  <si>
    <t>Вывих тазобедренного сустава справа</t>
  </si>
  <si>
    <t>200 000 RUB</t>
  </si>
  <si>
    <t>26.10.2016г.</t>
  </si>
  <si>
    <t>Аманжолов Тимур</t>
  </si>
  <si>
    <t>Унилатеральная ретинобластома</t>
  </si>
  <si>
    <t>27.10.2016г.</t>
  </si>
  <si>
    <t>Зенков Матвей</t>
  </si>
  <si>
    <t>Онкология</t>
  </si>
  <si>
    <t>418 USD</t>
  </si>
  <si>
    <t>31.10.2016г.</t>
  </si>
  <si>
    <t>6 000 ЕUR</t>
  </si>
  <si>
    <t>14.11.2016г.</t>
  </si>
  <si>
    <t>4 066,10 ЕUR</t>
  </si>
  <si>
    <t>16.11.2016г.</t>
  </si>
  <si>
    <t>5 533,42 ЕUR</t>
  </si>
  <si>
    <t>120 489,88 RUB</t>
  </si>
  <si>
    <t>Ибрагимов Элберд</t>
  </si>
  <si>
    <t>Ретинобластома правового глаза</t>
  </si>
  <si>
    <t>18.11.2016г.</t>
  </si>
  <si>
    <t>Серикжан Гулим</t>
  </si>
  <si>
    <t>Энцефалополирадикулоневрит </t>
  </si>
  <si>
    <t>УФК по г.Санкт-Петербургу ФГБУ КДЦ с поликлиникой</t>
  </si>
  <si>
    <t>23 550 RUB</t>
  </si>
  <si>
    <t>21.11.2016г.</t>
  </si>
  <si>
    <t>Мурат Нурдаулет</t>
  </si>
  <si>
    <t>Установка баклофеновой помпы</t>
  </si>
  <si>
    <t>Yeditepe Universitesi Hastanesi</t>
  </si>
  <si>
    <t> Липомиеломенингоцеле с субтотальным удалением интра-экстрадуальной липомы. Миелопатия </t>
  </si>
  <si>
    <t>10 000 USD</t>
  </si>
  <si>
    <t>Кутасевич Глеб</t>
  </si>
  <si>
    <t>Симптоматическая эпилепсия с полиморфными приступами. Арахноидальная киста средней черепной ямки</t>
  </si>
  <si>
    <t xml:space="preserve">УФК по г.Санкт-Петербургу ОФК10, ФГБУ С3ФМИЦ  им. В.А.Алмазова </t>
  </si>
  <si>
    <t>23.11.2016г.</t>
  </si>
  <si>
    <t>131 070 RUB</t>
  </si>
  <si>
    <t>2016, 7 операция</t>
  </si>
  <si>
    <t>Джакаева Айшат</t>
  </si>
  <si>
    <t>Мальформация лимфатических протоков тонкого и толстого кишечника,лимфангиома забрюшного пространства</t>
  </si>
  <si>
    <t>ГБУЗ ДГКБ 13 им.Н.Ф.Филатова</t>
  </si>
  <si>
    <t>59 200 RUB</t>
  </si>
  <si>
    <t>25.11.2016г.</t>
  </si>
  <si>
    <t>Атрезия отверстия Монро справа,вентрикуломегалия правого бокового желудочка</t>
  </si>
  <si>
    <t>Когай Алуа</t>
  </si>
  <si>
    <t>28.11.2016г.</t>
  </si>
  <si>
    <t>СПб ГБУЗ ДГБ №2 святой Марии Магдалины</t>
  </si>
  <si>
    <t>90 000 RUB</t>
  </si>
  <si>
    <t>29.11.2016г.</t>
  </si>
  <si>
    <t>Рецидив после ТКМ, химиятерапия</t>
  </si>
  <si>
    <t>2016, 2 курс/лечения</t>
  </si>
  <si>
    <t>20 000 USD</t>
  </si>
  <si>
    <t>289 094,51 RUB</t>
  </si>
  <si>
    <t>30.11.2016г.</t>
  </si>
  <si>
    <t>05.12.2016г.</t>
  </si>
  <si>
    <t>Дулат Сулейман</t>
  </si>
  <si>
    <t>2016, 2 курс/ леч.</t>
  </si>
  <si>
    <t>239 000 RUB</t>
  </si>
  <si>
    <t>06.12.2016г.</t>
  </si>
  <si>
    <t>2016, обследование после операций</t>
  </si>
  <si>
    <t>750 USD</t>
  </si>
  <si>
    <t>07.12.2016г.</t>
  </si>
  <si>
    <t>Двусторонний анкилоз височно-нижнечелюстного сустава.Двусторонняя микрогнатия</t>
  </si>
  <si>
    <t>Рахманбекова Дильнара</t>
  </si>
  <si>
    <t>13 000 USD</t>
  </si>
  <si>
    <t>20.12.2016г.</t>
  </si>
  <si>
    <t>22.12.2016г.</t>
  </si>
  <si>
    <t>23.12.2016г.</t>
  </si>
  <si>
    <t>Сидиров Тимур</t>
  </si>
  <si>
    <t>Буллезный эпидермолиз</t>
  </si>
  <si>
    <t>144 980 RUB</t>
  </si>
  <si>
    <t>28.12.2016г.</t>
  </si>
  <si>
    <t>33 050 RUB</t>
  </si>
  <si>
    <t>29.12.2016г.</t>
  </si>
  <si>
    <t>о перечисленных средствах за лечение детей на 31.12.2016</t>
  </si>
  <si>
    <t xml:space="preserve">Примечания: 
1. Большинство оплат за лечение детей в зарубежные клиники производится в долларах. В период с 2007 по 2015 года отчет по тратам велся в долларах. С 2016 отчёт ведется в тенге  по курсу на день оплаты. Суммы оплат за период с 2007 по 2015 года пересчитаны в тенге по средне-годовому курсу. 
2. В отчете отражается сумма оплат, произведенных за лечение ребёнка в клинику. Итоговая фактическая сумма расходов отражается в актах выполненных работ от клиники. В случае, если стоимость лечение была немного ниже произведенной оплаты, остаток переводится на другого ребёнка. Если вы хотите получить подробный отчет с платежными документами, обратитесь к нам по электронной почте info@detdom.kz.
3.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 </t>
  </si>
  <si>
    <t xml:space="preserve"> 135 400 RUB</t>
  </si>
  <si>
    <t xml:space="preserve"> 45 000 RUB</t>
  </si>
  <si>
    <t xml:space="preserve"> 36 300 RUB</t>
  </si>
  <si>
    <t xml:space="preserve"> 140 400 RUB</t>
  </si>
  <si>
    <t>5 096 USD</t>
  </si>
  <si>
    <t>43 041 RUB</t>
  </si>
  <si>
    <t>65 340 RUB</t>
  </si>
  <si>
    <t>267 365,86 RUB</t>
  </si>
  <si>
    <t>116 800 RUB</t>
  </si>
  <si>
    <t>52 380 RUB</t>
  </si>
  <si>
    <t>152 000 RUB</t>
  </si>
  <si>
    <t>303 945 RUB</t>
  </si>
  <si>
    <t>8 185 RUB</t>
  </si>
  <si>
    <t>113 846,97 RUB</t>
  </si>
  <si>
    <t>157 442,59 RUB</t>
  </si>
  <si>
    <t>149 237,16 RUB</t>
  </si>
  <si>
    <t xml:space="preserve"> 16 850 RUB</t>
  </si>
  <si>
    <t>80 900 RUB</t>
  </si>
  <si>
    <t>123 710 RUB</t>
  </si>
  <si>
    <t>207 370 RUB</t>
  </si>
  <si>
    <t>23 889,28 RUB</t>
  </si>
  <si>
    <t>230 USD</t>
  </si>
  <si>
    <t>оплачено за счет смс пожертвований абонентов Кселл.</t>
  </si>
  <si>
    <t>600 USD</t>
  </si>
  <si>
    <t>1 659 USD</t>
  </si>
  <si>
    <t>953,50 USD</t>
  </si>
  <si>
    <t>12 620,88 USD</t>
  </si>
  <si>
    <t>2 235 USD</t>
  </si>
  <si>
    <t>10 022,12 USD</t>
  </si>
  <si>
    <t>9 250 USD</t>
  </si>
  <si>
    <t>7 510 USD</t>
  </si>
  <si>
    <t>961,90 ЕUR</t>
  </si>
  <si>
    <t>Стоимость операции, валюта (по Акту выполненных работ)</t>
  </si>
  <si>
    <t>302 150 RUB</t>
  </si>
  <si>
    <t>466 147,69 RUB</t>
  </si>
  <si>
    <t>642 641,72 RUB</t>
  </si>
  <si>
    <t>533 774,00 RUB</t>
  </si>
  <si>
    <t>456 102,89 RUB</t>
  </si>
  <si>
    <t>ПДЖ в т.ч. АО «Самрук-Қазына»</t>
  </si>
  <si>
    <t>18 510,12 RUB</t>
  </si>
  <si>
    <t>62 338,75 RUB</t>
  </si>
  <si>
    <t>966 USD</t>
  </si>
  <si>
    <t>126 610 RUB</t>
  </si>
  <si>
    <t>15 200 USD</t>
  </si>
  <si>
    <t>Бесплатные операции в рамках сотрудничества с фондом "ДОМ", 2009-2013</t>
  </si>
  <si>
    <t>Акимат Астаны</t>
  </si>
  <si>
    <t xml:space="preserve">  9 000 USD</t>
  </si>
  <si>
    <t>Черкасов Ростислав</t>
  </si>
  <si>
    <t>Дисплазия тазобедренных суставов</t>
  </si>
  <si>
    <t>63 232 RUB</t>
  </si>
  <si>
    <t>24.02.2016г.</t>
  </si>
  <si>
    <t>частный спонсор</t>
  </si>
  <si>
    <t>ПДЖ, в том числе -     890 750 тг. частный спонсор</t>
  </si>
  <si>
    <t>ПДЖ, в т.ч.оплачено за счет смс пожертвований абонентов Кселл -               453 000 тг.</t>
  </si>
  <si>
    <t>ПДЖ, в т.ч.оплачено за счет смс пожертвований абонентов Кселл -                    531 500 тг.</t>
  </si>
  <si>
    <t>ПДЖ, в т.ч.оплачено за счет смс пожертвований абонентов Кселл -                287 250 тг.</t>
  </si>
  <si>
    <t>ПДЖ, в т.ч.оплачено за счет смс пожертвований абонентов Кселл -          688 250 тг.</t>
  </si>
  <si>
    <t>синдром артрогрипоза обоих коленных суставов-(отсутствуют коленные чашечки), плосковальгусная установка стоп»</t>
  </si>
  <si>
    <t>ВПС Атрезия легочной артерии 2 тип, ОАП, ДМЖП, БАЛК артерий с обеих сторон. НК1, ФК2, Белково – энергетическая недостаточность 2-3 степени</t>
  </si>
  <si>
    <t>ПДЖ, в т.ч.оплачено за счет смс пожертвований абонентов Кселл -                 431 150 тг.</t>
  </si>
  <si>
    <t>ПДЖ, в т.ч.оплачено за счет смс пожертвований абонентов Кселл -                           1 013 000 тг.</t>
  </si>
  <si>
    <t>ПДЖ, в т.ч.оплачено за счет смс пожертвований абонентов Кселл -                      462 350 тг.</t>
  </si>
  <si>
    <t>ПДЖ, в т.ч.оплачено за счет смс пожертвований абонентов Кселл -                 398 500 тг.</t>
  </si>
  <si>
    <t>ВПР, менингорадикулоцеле поястнично-крестцового отдела позвоночника, миелодистрофия</t>
  </si>
  <si>
    <t>ПДЖ, в т.ч.оплачено за счет смс пожертвований абонентов Кселл -               255 750 тг.</t>
  </si>
  <si>
    <t>УФК по г.Москве ФГБУ РОНЦ им.Н.Н.Блохина МЗ России</t>
  </si>
  <si>
    <t>ПДЖ, в т.ч.оплачено за счет смс пожертвований абонентов Кселл -                  203 750 тг.</t>
  </si>
  <si>
    <t>605 USD</t>
  </si>
  <si>
    <t>8395 USD</t>
  </si>
  <si>
    <t>12 000 RUB</t>
  </si>
  <si>
    <t>6 700 RUB</t>
  </si>
  <si>
    <t xml:space="preserve">3 640 USD </t>
  </si>
  <si>
    <t xml:space="preserve">20 785 RUB </t>
  </si>
  <si>
    <t xml:space="preserve">124 500 RUB </t>
  </si>
  <si>
    <t>ПДЖ, в т.ч. ТОО "Нур-Ислам" -          500 000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</si>
</sst>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11" xfId="0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0" fillId="6" borderId="0" xfId="0" applyFill="1"/>
    <xf numFmtId="0" fontId="3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14" fontId="3" fillId="0" borderId="8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/>
    </xf>
    <xf numFmtId="0" fontId="3" fillId="3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3" fontId="6" fillId="3" borderId="13" xfId="0" applyNumberFormat="1" applyFont="1" applyFill="1" applyBorder="1" applyAlignment="1">
      <alignment horizontal="right" vertical="top" wrapText="1"/>
    </xf>
    <xf numFmtId="0" fontId="6" fillId="3" borderId="14" xfId="0" applyFont="1" applyFill="1" applyBorder="1" applyAlignment="1">
      <alignment horizontal="right" vertical="top" wrapText="1"/>
    </xf>
    <xf numFmtId="3" fontId="3" fillId="3" borderId="6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right" vertical="top" wrapText="1"/>
    </xf>
    <xf numFmtId="164" fontId="6" fillId="3" borderId="6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3" fontId="7" fillId="2" borderId="0" xfId="0" applyNumberFormat="1" applyFont="1" applyFill="1" applyBorder="1" applyAlignment="1">
      <alignment horizontal="left" vertical="top" wrapText="1"/>
    </xf>
    <xf numFmtId="3" fontId="5" fillId="2" borderId="0" xfId="0" applyNumberFormat="1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0" fillId="8" borderId="0" xfId="0" applyFill="1"/>
    <xf numFmtId="14" fontId="3" fillId="9" borderId="11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vertical="top"/>
    </xf>
    <xf numFmtId="49" fontId="1" fillId="0" borderId="8" xfId="0" applyNumberFormat="1" applyFont="1" applyBorder="1" applyAlignment="1">
      <alignment vertical="top"/>
    </xf>
    <xf numFmtId="49" fontId="1" fillId="0" borderId="8" xfId="0" applyNumberFormat="1" applyFont="1" applyBorder="1" applyAlignment="1">
      <alignment horizontal="right" vertical="top"/>
    </xf>
    <xf numFmtId="0" fontId="5" fillId="5" borderId="0" xfId="0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center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 wrapText="1"/>
    </xf>
    <xf numFmtId="3" fontId="3" fillId="5" borderId="8" xfId="0" applyNumberFormat="1" applyFont="1" applyFill="1" applyBorder="1" applyAlignment="1">
      <alignment vertical="top"/>
    </xf>
    <xf numFmtId="3" fontId="3" fillId="5" borderId="8" xfId="0" applyNumberFormat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right" vertical="center"/>
    </xf>
    <xf numFmtId="14" fontId="3" fillId="5" borderId="8" xfId="0" applyNumberFormat="1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top" wrapText="1"/>
    </xf>
    <xf numFmtId="49" fontId="3" fillId="5" borderId="8" xfId="0" applyNumberFormat="1" applyFont="1" applyFill="1" applyBorder="1" applyAlignment="1">
      <alignment horizontal="right" vertical="center"/>
    </xf>
    <xf numFmtId="0" fontId="0" fillId="5" borderId="8" xfId="0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3" fillId="5" borderId="11" xfId="0" applyFont="1" applyFill="1" applyBorder="1" applyAlignment="1">
      <alignment horizontal="left" vertical="top"/>
    </xf>
    <xf numFmtId="3" fontId="3" fillId="5" borderId="11" xfId="0" applyNumberFormat="1" applyFont="1" applyFill="1" applyBorder="1" applyAlignment="1">
      <alignment vertical="top"/>
    </xf>
    <xf numFmtId="3" fontId="3" fillId="5" borderId="1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right" vertical="center"/>
    </xf>
    <xf numFmtId="164" fontId="3" fillId="5" borderId="1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vertical="top" wrapText="1"/>
    </xf>
    <xf numFmtId="3" fontId="3" fillId="5" borderId="8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top" wrapText="1"/>
    </xf>
    <xf numFmtId="0" fontId="0" fillId="5" borderId="9" xfId="0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3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top"/>
    </xf>
    <xf numFmtId="0" fontId="3" fillId="5" borderId="11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3" fontId="3" fillId="5" borderId="1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 wrapText="1"/>
    </xf>
    <xf numFmtId="3" fontId="3" fillId="5" borderId="11" xfId="0" applyNumberFormat="1" applyFont="1" applyFill="1" applyBorder="1" applyAlignment="1">
      <alignment vertical="top"/>
    </xf>
    <xf numFmtId="3" fontId="3" fillId="5" borderId="11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vertical="top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right" vertical="center"/>
    </xf>
    <xf numFmtId="164" fontId="3" fillId="5" borderId="11" xfId="0" applyNumberFormat="1" applyFont="1" applyFill="1" applyBorder="1" applyAlignment="1">
      <alignment horizontal="right" vertical="center"/>
    </xf>
    <xf numFmtId="14" fontId="3" fillId="5" borderId="9" xfId="0" applyNumberFormat="1" applyFont="1" applyFill="1" applyBorder="1" applyAlignment="1">
      <alignment vertical="center"/>
    </xf>
    <xf numFmtId="14" fontId="3" fillId="5" borderId="11" xfId="0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vertical="top"/>
    </xf>
    <xf numFmtId="0" fontId="0" fillId="5" borderId="11" xfId="0" applyFill="1" applyBorder="1" applyAlignment="1">
      <alignment vertical="top"/>
    </xf>
    <xf numFmtId="3" fontId="3" fillId="5" borderId="9" xfId="0" applyNumberFormat="1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0" fillId="5" borderId="9" xfId="0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0" fillId="5" borderId="11" xfId="0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3" fontId="3" fillId="5" borderId="9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0" fillId="5" borderId="10" xfId="0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vertical="top"/>
    </xf>
    <xf numFmtId="3" fontId="3" fillId="5" borderId="11" xfId="0" applyNumberFormat="1" applyFont="1" applyFill="1" applyBorder="1" applyAlignment="1">
      <alignment horizontal="righ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3" fontId="3" fillId="5" borderId="9" xfId="0" applyNumberFormat="1" applyFont="1" applyFill="1" applyBorder="1" applyAlignment="1">
      <alignment horizontal="right" vertical="top"/>
    </xf>
    <xf numFmtId="3" fontId="3" fillId="5" borderId="1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6"/>
  <sheetViews>
    <sheetView tabSelected="1" topLeftCell="A7" zoomScale="85" zoomScaleNormal="85" workbookViewId="0">
      <selection activeCell="J5" sqref="J5"/>
    </sheetView>
  </sheetViews>
  <sheetFormatPr defaultRowHeight="13.2" x14ac:dyDescent="0.25"/>
  <cols>
    <col min="1" max="1" width="5.6640625" style="1" customWidth="1"/>
    <col min="2" max="2" width="12.6640625" style="2" customWidth="1"/>
    <col min="3" max="3" width="5.6640625" style="3" customWidth="1"/>
    <col min="4" max="4" width="14.44140625" style="3" customWidth="1"/>
    <col min="5" max="5" width="8.88671875" style="3" customWidth="1"/>
    <col min="6" max="6" width="18.44140625" style="3" customWidth="1"/>
    <col min="7" max="7" width="8.44140625" style="4" customWidth="1"/>
    <col min="8" max="8" width="11.33203125" style="5" customWidth="1"/>
    <col min="9" max="9" width="12" style="16" customWidth="1"/>
    <col min="10" max="10" width="4.44140625" style="6" customWidth="1"/>
    <col min="11" max="11" width="5.109375" style="6" customWidth="1"/>
    <col min="12" max="12" width="7.109375" style="21" customWidth="1"/>
    <col min="13" max="13" width="7.33203125" style="7" customWidth="1"/>
    <col min="14" max="14" width="12.33203125" style="7" customWidth="1"/>
    <col min="15" max="15" width="11" style="8" customWidth="1"/>
    <col min="16" max="16" width="10.88671875" style="9" customWidth="1"/>
    <col min="17" max="18" width="9.109375" style="9"/>
  </cols>
  <sheetData>
    <row r="1" spans="1:18" ht="22.5" customHeight="1" x14ac:dyDescent="0.25">
      <c r="B1" s="186" t="s">
        <v>0</v>
      </c>
      <c r="C1" s="186"/>
      <c r="D1" s="186"/>
      <c r="E1" s="186"/>
      <c r="F1" s="186"/>
      <c r="G1" s="186"/>
      <c r="H1" s="186"/>
      <c r="I1" s="10"/>
    </row>
    <row r="2" spans="1:18" ht="22.5" customHeight="1" x14ac:dyDescent="0.25">
      <c r="B2" s="187" t="s">
        <v>552</v>
      </c>
      <c r="C2" s="187"/>
      <c r="D2" s="187"/>
      <c r="E2" s="187"/>
      <c r="F2" s="187"/>
      <c r="G2" s="187"/>
      <c r="H2" s="187"/>
      <c r="I2" s="10"/>
    </row>
    <row r="3" spans="1:18" ht="18.75" customHeight="1" x14ac:dyDescent="0.25">
      <c r="B3" s="10"/>
      <c r="C3" s="10"/>
      <c r="D3" s="10"/>
      <c r="E3" s="10"/>
      <c r="F3" s="10"/>
      <c r="G3" s="10"/>
      <c r="H3" s="11"/>
    </row>
    <row r="4" spans="1:18" ht="193.95" customHeight="1" x14ac:dyDescent="0.25">
      <c r="B4" s="188" t="s">
        <v>553</v>
      </c>
      <c r="C4" s="188"/>
      <c r="D4" s="188"/>
      <c r="E4" s="188"/>
      <c r="F4" s="188"/>
      <c r="G4" s="188"/>
      <c r="H4" s="188"/>
      <c r="I4" s="10"/>
    </row>
    <row r="5" spans="1:18" ht="194.4" customHeight="1" x14ac:dyDescent="0.25">
      <c r="A5" s="18"/>
      <c r="B5" s="58"/>
      <c r="C5" s="58"/>
      <c r="D5" s="58" t="s">
        <v>1</v>
      </c>
      <c r="E5" s="58" t="s">
        <v>98</v>
      </c>
      <c r="F5" s="87" t="s">
        <v>35</v>
      </c>
      <c r="G5" s="58"/>
      <c r="H5" s="58"/>
      <c r="I5"/>
      <c r="J5"/>
      <c r="K5"/>
      <c r="L5"/>
      <c r="M5"/>
      <c r="N5"/>
      <c r="O5"/>
      <c r="P5"/>
      <c r="Q5"/>
      <c r="R5"/>
    </row>
    <row r="6" spans="1:18" s="13" customFormat="1" ht="18.75" customHeight="1" x14ac:dyDescent="0.25">
      <c r="A6" s="17"/>
      <c r="B6" s="59">
        <v>2007</v>
      </c>
      <c r="C6" s="60"/>
      <c r="D6" s="59">
        <v>9</v>
      </c>
      <c r="E6" s="59">
        <v>11</v>
      </c>
      <c r="F6" s="61">
        <v>19264780</v>
      </c>
      <c r="G6" s="62"/>
      <c r="H6" s="63"/>
    </row>
    <row r="7" spans="1:18" s="13" customFormat="1" ht="18.75" customHeight="1" x14ac:dyDescent="0.25">
      <c r="A7" s="17"/>
      <c r="B7" s="59">
        <v>2008</v>
      </c>
      <c r="C7" s="60"/>
      <c r="D7" s="59">
        <v>44</v>
      </c>
      <c r="E7" s="59">
        <v>45</v>
      </c>
      <c r="F7" s="61">
        <v>40719198</v>
      </c>
      <c r="G7" s="61"/>
      <c r="H7" s="63"/>
    </row>
    <row r="8" spans="1:18" s="13" customFormat="1" ht="18.75" customHeight="1" x14ac:dyDescent="0.25">
      <c r="A8" s="17"/>
      <c r="B8" s="59">
        <v>2009</v>
      </c>
      <c r="C8" s="59"/>
      <c r="D8" s="59">
        <v>56</v>
      </c>
      <c r="E8" s="59">
        <v>58</v>
      </c>
      <c r="F8" s="61">
        <v>47911534</v>
      </c>
      <c r="G8" s="62"/>
      <c r="H8" s="63"/>
    </row>
    <row r="9" spans="1:18" s="13" customFormat="1" ht="18.75" customHeight="1" x14ac:dyDescent="0.25">
      <c r="A9" s="17"/>
      <c r="B9" s="59">
        <v>2010</v>
      </c>
      <c r="C9" s="59"/>
      <c r="D9" s="59">
        <v>111</v>
      </c>
      <c r="E9" s="59">
        <v>117</v>
      </c>
      <c r="F9" s="64">
        <v>105713912</v>
      </c>
      <c r="G9" s="62"/>
      <c r="H9" s="63"/>
    </row>
    <row r="10" spans="1:18" s="13" customFormat="1" ht="18.75" customHeight="1" x14ac:dyDescent="0.25">
      <c r="A10" s="17"/>
      <c r="B10" s="59">
        <v>2011</v>
      </c>
      <c r="C10" s="59"/>
      <c r="D10" s="59">
        <v>50</v>
      </c>
      <c r="E10" s="59">
        <v>66</v>
      </c>
      <c r="F10" s="61">
        <v>70729871</v>
      </c>
      <c r="G10" s="62"/>
      <c r="H10" s="63"/>
    </row>
    <row r="11" spans="1:18" s="13" customFormat="1" ht="18.75" customHeight="1" x14ac:dyDescent="0.25">
      <c r="A11" s="17"/>
      <c r="B11" s="59">
        <v>2012</v>
      </c>
      <c r="C11" s="59"/>
      <c r="D11" s="59">
        <v>38</v>
      </c>
      <c r="E11" s="59">
        <v>58</v>
      </c>
      <c r="F11" s="61">
        <v>73901898</v>
      </c>
      <c r="G11" s="62"/>
      <c r="H11" s="63"/>
    </row>
    <row r="12" spans="1:18" s="13" customFormat="1" ht="18.75" customHeight="1" x14ac:dyDescent="0.25">
      <c r="A12" s="17"/>
      <c r="B12" s="59">
        <v>2013</v>
      </c>
      <c r="C12" s="59"/>
      <c r="D12" s="59">
        <v>337</v>
      </c>
      <c r="E12" s="59">
        <v>465</v>
      </c>
      <c r="F12" s="61">
        <v>396657790</v>
      </c>
      <c r="G12" s="62"/>
      <c r="H12" s="63"/>
    </row>
    <row r="13" spans="1:18" s="13" customFormat="1" ht="18.75" customHeight="1" x14ac:dyDescent="0.25">
      <c r="A13" s="17"/>
      <c r="B13" s="59">
        <v>2014</v>
      </c>
      <c r="C13" s="59"/>
      <c r="D13" s="59">
        <v>299</v>
      </c>
      <c r="E13" s="61">
        <v>540</v>
      </c>
      <c r="F13" s="61">
        <v>587924651</v>
      </c>
      <c r="G13" s="62"/>
      <c r="H13" s="63"/>
    </row>
    <row r="14" spans="1:18" s="13" customFormat="1" ht="18.75" customHeight="1" x14ac:dyDescent="0.25">
      <c r="A14" s="17"/>
      <c r="B14" s="59">
        <v>2015</v>
      </c>
      <c r="C14" s="59"/>
      <c r="D14" s="85">
        <v>368</v>
      </c>
      <c r="E14" s="86">
        <v>466</v>
      </c>
      <c r="F14" s="86">
        <v>487010099</v>
      </c>
      <c r="G14" s="62"/>
      <c r="H14" s="63"/>
    </row>
    <row r="15" spans="1:18" s="12" customFormat="1" ht="18.75" customHeight="1" x14ac:dyDescent="0.25">
      <c r="A15" s="19"/>
      <c r="B15" s="68">
        <v>2016</v>
      </c>
      <c r="C15" s="68"/>
      <c r="D15" s="68">
        <v>74</v>
      </c>
      <c r="E15" s="64">
        <f>2+5+16+8+4+1+2+1+3+7+4+1+8+6+6+12+13+1+2+6+3+3+3+5+1+4+4+5+11+6+2+3</f>
        <v>158</v>
      </c>
      <c r="F15" s="64">
        <f>N264</f>
        <v>307388825.86762708</v>
      </c>
      <c r="G15" s="66"/>
      <c r="H15" s="67"/>
    </row>
    <row r="16" spans="1:18" s="12" customFormat="1" ht="45" customHeight="1" x14ac:dyDescent="0.25">
      <c r="A16" s="19"/>
      <c r="B16" s="181" t="s">
        <v>169</v>
      </c>
      <c r="C16" s="181"/>
      <c r="D16" s="65">
        <f>SUM(D6:D15)</f>
        <v>1386</v>
      </c>
      <c r="E16" s="65">
        <f>SUM(E6:E15)</f>
        <v>1984</v>
      </c>
      <c r="F16" s="66">
        <f>SUM(F6:F15)</f>
        <v>2137222558.8676271</v>
      </c>
      <c r="G16" s="66"/>
      <c r="H16" s="67"/>
    </row>
    <row r="17" spans="1:25" s="12" customFormat="1" ht="46.95" customHeight="1" x14ac:dyDescent="0.25">
      <c r="A17" s="19"/>
      <c r="B17" s="180" t="s">
        <v>96</v>
      </c>
      <c r="C17" s="180"/>
      <c r="D17" s="68">
        <v>29</v>
      </c>
      <c r="E17" s="68">
        <v>30</v>
      </c>
      <c r="F17" s="64">
        <v>26996403</v>
      </c>
      <c r="G17" s="69"/>
      <c r="H17" s="67"/>
    </row>
    <row r="18" spans="1:25" s="12" customFormat="1" ht="45" customHeight="1" x14ac:dyDescent="0.25">
      <c r="A18" s="19"/>
      <c r="B18" s="180" t="s">
        <v>94</v>
      </c>
      <c r="C18" s="180"/>
      <c r="D18" s="68">
        <v>9</v>
      </c>
      <c r="E18" s="68">
        <v>9</v>
      </c>
      <c r="F18" s="64">
        <v>4177350</v>
      </c>
      <c r="G18" s="69"/>
      <c r="H18" s="67"/>
    </row>
    <row r="19" spans="1:25" s="12" customFormat="1" ht="44.25" customHeight="1" x14ac:dyDescent="0.25">
      <c r="A19" s="19"/>
      <c r="B19" s="180" t="s">
        <v>95</v>
      </c>
      <c r="C19" s="180"/>
      <c r="D19" s="68">
        <v>20</v>
      </c>
      <c r="E19" s="68">
        <v>21</v>
      </c>
      <c r="F19" s="64">
        <v>7731150</v>
      </c>
      <c r="G19" s="69"/>
      <c r="H19" s="67"/>
    </row>
    <row r="20" spans="1:25" s="13" customFormat="1" ht="88.2" customHeight="1" x14ac:dyDescent="0.25">
      <c r="A20" s="17"/>
      <c r="B20" s="182" t="s">
        <v>598</v>
      </c>
      <c r="C20" s="182"/>
      <c r="D20" s="59">
        <v>20</v>
      </c>
      <c r="E20" s="61">
        <v>20</v>
      </c>
      <c r="F20" s="70"/>
      <c r="G20" s="71"/>
      <c r="H20" s="63"/>
    </row>
    <row r="21" spans="1:25" s="13" customFormat="1" ht="73.5" customHeight="1" x14ac:dyDescent="0.25">
      <c r="A21" s="20"/>
      <c r="B21" s="183" t="s">
        <v>170</v>
      </c>
      <c r="C21" s="183"/>
      <c r="D21" s="58">
        <f>SUM(D16:D20)</f>
        <v>1464</v>
      </c>
      <c r="E21" s="72">
        <f>SUM(E16:E20)</f>
        <v>2064</v>
      </c>
      <c r="F21" s="72">
        <f>SUM(F16:F20)</f>
        <v>2176127461.8676271</v>
      </c>
      <c r="G21" s="73"/>
      <c r="H21" s="74"/>
    </row>
    <row r="22" spans="1:25" s="13" customFormat="1" ht="164.4" customHeight="1" x14ac:dyDescent="0.25">
      <c r="A22" s="19"/>
      <c r="B22" s="68" t="s">
        <v>32</v>
      </c>
      <c r="C22" s="68"/>
      <c r="D22" s="68">
        <f>13</f>
        <v>13</v>
      </c>
      <c r="E22" s="61">
        <v>13</v>
      </c>
      <c r="F22" s="64">
        <f>78500*150</f>
        <v>11775000</v>
      </c>
      <c r="G22" s="180" t="s">
        <v>33</v>
      </c>
      <c r="H22" s="180"/>
    </row>
    <row r="23" spans="1:25" s="13" customFormat="1" ht="26.25" customHeight="1" x14ac:dyDescent="0.25">
      <c r="A23" s="19"/>
      <c r="B23" s="65" t="s">
        <v>34</v>
      </c>
      <c r="C23" s="65"/>
      <c r="D23" s="65">
        <f>D22+D21</f>
        <v>1477</v>
      </c>
      <c r="E23" s="66">
        <f>SUM(E21+E22)</f>
        <v>2077</v>
      </c>
      <c r="F23" s="75"/>
      <c r="G23" s="75"/>
      <c r="H23" s="75"/>
    </row>
    <row r="24" spans="1:25" ht="18.75" customHeight="1" x14ac:dyDescent="0.25">
      <c r="B24" s="10"/>
      <c r="C24" s="10"/>
      <c r="D24" s="10"/>
      <c r="E24" s="10"/>
      <c r="F24" s="10"/>
      <c r="G24" s="10"/>
      <c r="H24" s="11"/>
    </row>
    <row r="25" spans="1:25" ht="105" customHeight="1" x14ac:dyDescent="0.25">
      <c r="A25" s="31"/>
      <c r="B25" s="32" t="s">
        <v>2</v>
      </c>
      <c r="C25" s="33" t="s">
        <v>3</v>
      </c>
      <c r="D25" s="33" t="s">
        <v>4</v>
      </c>
      <c r="E25" s="33" t="s">
        <v>5</v>
      </c>
      <c r="F25" s="33" t="s">
        <v>6</v>
      </c>
      <c r="G25" s="33" t="s">
        <v>7</v>
      </c>
      <c r="H25" s="33" t="s">
        <v>586</v>
      </c>
      <c r="I25" s="33" t="s">
        <v>8</v>
      </c>
      <c r="J25" s="34" t="s">
        <v>172</v>
      </c>
      <c r="K25" s="34" t="s">
        <v>173</v>
      </c>
      <c r="L25" s="33" t="s">
        <v>9</v>
      </c>
      <c r="M25" s="33" t="s">
        <v>10</v>
      </c>
      <c r="N25" s="33" t="s">
        <v>70</v>
      </c>
      <c r="O25" s="33" t="s">
        <v>11</v>
      </c>
    </row>
    <row r="26" spans="1:25" s="15" customFormat="1" ht="23.25" customHeight="1" x14ac:dyDescent="0.25">
      <c r="A26" s="35"/>
      <c r="B26" s="36">
        <v>2016</v>
      </c>
      <c r="C26" s="37"/>
      <c r="D26" s="37"/>
      <c r="E26" s="38"/>
      <c r="F26" s="37"/>
      <c r="G26" s="39"/>
      <c r="H26" s="40"/>
      <c r="I26" s="41"/>
      <c r="J26" s="42"/>
      <c r="K26" s="42"/>
      <c r="L26" s="42"/>
      <c r="M26" s="43"/>
      <c r="N26" s="43"/>
      <c r="O26" s="44"/>
      <c r="P26" s="14"/>
      <c r="Q26" s="14"/>
      <c r="R26" s="14"/>
    </row>
    <row r="27" spans="1:25" s="9" customFormat="1" ht="33.6" customHeight="1" x14ac:dyDescent="0.25">
      <c r="A27" s="91"/>
      <c r="B27" s="92" t="s">
        <v>66</v>
      </c>
      <c r="C27" s="92">
        <v>2009</v>
      </c>
      <c r="D27" s="92" t="s">
        <v>19</v>
      </c>
      <c r="E27" s="92" t="s">
        <v>174</v>
      </c>
      <c r="F27" s="92" t="s">
        <v>171</v>
      </c>
      <c r="G27" s="93">
        <f>N27/L27</f>
        <v>642.21616764731459</v>
      </c>
      <c r="H27" s="94" t="s">
        <v>555</v>
      </c>
      <c r="I27" s="95" t="s">
        <v>65</v>
      </c>
      <c r="J27" s="96">
        <v>1</v>
      </c>
      <c r="K27" s="96">
        <v>1920</v>
      </c>
      <c r="L27" s="96">
        <v>345.01</v>
      </c>
      <c r="M27" s="97">
        <v>4.9238</v>
      </c>
      <c r="N27" s="98">
        <f>45000*M27</f>
        <v>221571</v>
      </c>
      <c r="O27" s="99" t="s">
        <v>191</v>
      </c>
    </row>
    <row r="28" spans="1:25" s="9" customFormat="1" ht="45" customHeight="1" x14ac:dyDescent="0.25">
      <c r="A28" s="91"/>
      <c r="B28" s="92" t="s">
        <v>67</v>
      </c>
      <c r="C28" s="92">
        <v>2010</v>
      </c>
      <c r="D28" s="100" t="s">
        <v>68</v>
      </c>
      <c r="E28" s="92" t="s">
        <v>175</v>
      </c>
      <c r="F28" s="100" t="s">
        <v>83</v>
      </c>
      <c r="G28" s="93">
        <f>N28/L28</f>
        <v>1053.325738035694</v>
      </c>
      <c r="H28" s="94" t="s">
        <v>176</v>
      </c>
      <c r="I28" s="95" t="s">
        <v>65</v>
      </c>
      <c r="J28" s="96">
        <v>2</v>
      </c>
      <c r="K28" s="96">
        <v>1921</v>
      </c>
      <c r="L28" s="96">
        <v>351.88</v>
      </c>
      <c r="M28" s="97">
        <v>4.9629000000000003</v>
      </c>
      <c r="N28" s="98">
        <f>74683*M28</f>
        <v>370644.26070000004</v>
      </c>
      <c r="O28" s="99" t="s">
        <v>192</v>
      </c>
      <c r="P28" s="24"/>
    </row>
    <row r="29" spans="1:25" ht="26.25" customHeight="1" x14ac:dyDescent="0.25">
      <c r="A29" s="154"/>
      <c r="B29" s="157" t="s">
        <v>167</v>
      </c>
      <c r="C29" s="157">
        <v>2011</v>
      </c>
      <c r="D29" s="160" t="s">
        <v>168</v>
      </c>
      <c r="E29" s="157" t="s">
        <v>84</v>
      </c>
      <c r="F29" s="157" t="s">
        <v>52</v>
      </c>
      <c r="G29" s="94">
        <v>605</v>
      </c>
      <c r="H29" s="94" t="s">
        <v>621</v>
      </c>
      <c r="I29" s="147" t="s">
        <v>65</v>
      </c>
      <c r="J29" s="135"/>
      <c r="K29" s="135"/>
      <c r="L29" s="101" t="s">
        <v>161</v>
      </c>
      <c r="M29" s="101"/>
      <c r="N29" s="98">
        <f>605*L29</f>
        <v>147105.75</v>
      </c>
      <c r="O29" s="99" t="s">
        <v>193</v>
      </c>
    </row>
    <row r="30" spans="1:25" s="9" customFormat="1" ht="23.4" customHeight="1" x14ac:dyDescent="0.25">
      <c r="A30" s="168"/>
      <c r="B30" s="159"/>
      <c r="C30" s="169"/>
      <c r="D30" s="159"/>
      <c r="E30" s="169"/>
      <c r="F30" s="159"/>
      <c r="G30" s="134">
        <v>8395</v>
      </c>
      <c r="H30" s="94" t="s">
        <v>622</v>
      </c>
      <c r="I30" s="153"/>
      <c r="J30" s="149"/>
      <c r="K30" s="149"/>
      <c r="L30" s="96">
        <v>280.05</v>
      </c>
      <c r="M30" s="97"/>
      <c r="N30" s="98">
        <f>8395*L30</f>
        <v>2351019.75</v>
      </c>
      <c r="O30" s="99" t="s">
        <v>193</v>
      </c>
    </row>
    <row r="31" spans="1:25" s="9" customFormat="1" ht="59.4" customHeight="1" x14ac:dyDescent="0.25">
      <c r="A31" s="91"/>
      <c r="B31" s="92" t="s">
        <v>114</v>
      </c>
      <c r="C31" s="92">
        <v>2012</v>
      </c>
      <c r="D31" s="102" t="s">
        <v>115</v>
      </c>
      <c r="E31" s="92" t="s">
        <v>84</v>
      </c>
      <c r="F31" s="92" t="s">
        <v>52</v>
      </c>
      <c r="G31" s="93">
        <v>3600</v>
      </c>
      <c r="H31" s="94" t="s">
        <v>177</v>
      </c>
      <c r="I31" s="95" t="s">
        <v>65</v>
      </c>
      <c r="J31" s="96"/>
      <c r="K31" s="96"/>
      <c r="L31" s="96">
        <v>280.05</v>
      </c>
      <c r="M31" s="97"/>
      <c r="N31" s="98">
        <f>G31*L31</f>
        <v>1008180</v>
      </c>
      <c r="O31" s="99" t="s">
        <v>193</v>
      </c>
    </row>
    <row r="32" spans="1:25" s="27" customFormat="1" ht="34.950000000000003" customHeight="1" x14ac:dyDescent="0.25">
      <c r="A32" s="91"/>
      <c r="B32" s="92" t="s">
        <v>125</v>
      </c>
      <c r="C32" s="92">
        <v>2010</v>
      </c>
      <c r="D32" s="92" t="s">
        <v>126</v>
      </c>
      <c r="E32" s="92" t="s">
        <v>84</v>
      </c>
      <c r="F32" s="92" t="s">
        <v>52</v>
      </c>
      <c r="G32" s="93">
        <v>15200</v>
      </c>
      <c r="H32" s="94" t="s">
        <v>597</v>
      </c>
      <c r="I32" s="103" t="s">
        <v>65</v>
      </c>
      <c r="J32" s="96"/>
      <c r="K32" s="96"/>
      <c r="L32" s="96">
        <v>280.05</v>
      </c>
      <c r="M32" s="97"/>
      <c r="N32" s="98">
        <f>G32*L32</f>
        <v>4256760</v>
      </c>
      <c r="O32" s="99" t="s">
        <v>193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s="9" customFormat="1" ht="45.6" customHeight="1" x14ac:dyDescent="0.25">
      <c r="A33" s="91"/>
      <c r="B33" s="92" t="s">
        <v>167</v>
      </c>
      <c r="C33" s="92">
        <v>2011</v>
      </c>
      <c r="D33" s="104" t="s">
        <v>168</v>
      </c>
      <c r="E33" s="92" t="s">
        <v>84</v>
      </c>
      <c r="F33" s="92" t="s">
        <v>52</v>
      </c>
      <c r="G33" s="93">
        <v>1400</v>
      </c>
      <c r="H33" s="94" t="s">
        <v>179</v>
      </c>
      <c r="I33" s="103" t="s">
        <v>65</v>
      </c>
      <c r="J33" s="96"/>
      <c r="K33" s="96"/>
      <c r="L33" s="96">
        <v>280.05</v>
      </c>
      <c r="M33" s="97"/>
      <c r="N33" s="98">
        <f>G33*L33</f>
        <v>392070</v>
      </c>
      <c r="O33" s="99" t="s">
        <v>194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s="9" customFormat="1" ht="24.75" customHeight="1" x14ac:dyDescent="0.25">
      <c r="A34" s="154">
        <v>1404</v>
      </c>
      <c r="B34" s="157" t="s">
        <v>180</v>
      </c>
      <c r="C34" s="157">
        <v>2007</v>
      </c>
      <c r="D34" s="160" t="s">
        <v>181</v>
      </c>
      <c r="E34" s="157">
        <v>2016</v>
      </c>
      <c r="F34" s="157" t="s">
        <v>113</v>
      </c>
      <c r="G34" s="93">
        <v>9250</v>
      </c>
      <c r="H34" s="94" t="s">
        <v>583</v>
      </c>
      <c r="I34" s="147" t="s">
        <v>65</v>
      </c>
      <c r="J34" s="135">
        <v>3</v>
      </c>
      <c r="K34" s="135">
        <v>1922</v>
      </c>
      <c r="L34" s="135">
        <v>280.05</v>
      </c>
      <c r="M34" s="141"/>
      <c r="N34" s="98">
        <f>G34*L34</f>
        <v>2590462.5</v>
      </c>
      <c r="O34" s="99" t="s">
        <v>195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1:25" s="9" customFormat="1" ht="92.4" customHeight="1" x14ac:dyDescent="0.25">
      <c r="A35" s="168"/>
      <c r="B35" s="169"/>
      <c r="C35" s="169"/>
      <c r="D35" s="170"/>
      <c r="E35" s="169"/>
      <c r="F35" s="159"/>
      <c r="G35" s="93">
        <v>9000</v>
      </c>
      <c r="H35" s="94" t="s">
        <v>25</v>
      </c>
      <c r="I35" s="153"/>
      <c r="J35" s="136"/>
      <c r="K35" s="136"/>
      <c r="L35" s="136"/>
      <c r="M35" s="142"/>
      <c r="N35" s="98">
        <f>G35*L34</f>
        <v>2520450</v>
      </c>
      <c r="O35" s="99" t="s">
        <v>196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25" s="9" customFormat="1" ht="74.400000000000006" customHeight="1" x14ac:dyDescent="0.25">
      <c r="A36" s="91">
        <v>1405</v>
      </c>
      <c r="B36" s="92" t="s">
        <v>182</v>
      </c>
      <c r="C36" s="92">
        <v>2005</v>
      </c>
      <c r="D36" s="104" t="s">
        <v>183</v>
      </c>
      <c r="E36" s="92">
        <v>2016</v>
      </c>
      <c r="F36" s="102" t="s">
        <v>93</v>
      </c>
      <c r="G36" s="93">
        <v>20000</v>
      </c>
      <c r="H36" s="94" t="s">
        <v>529</v>
      </c>
      <c r="I36" s="103" t="s">
        <v>605</v>
      </c>
      <c r="J36" s="96">
        <v>4</v>
      </c>
      <c r="K36" s="96">
        <v>1923</v>
      </c>
      <c r="L36" s="96">
        <v>280.05</v>
      </c>
      <c r="M36" s="97"/>
      <c r="N36" s="98">
        <f>G36*L36</f>
        <v>5601000</v>
      </c>
      <c r="O36" s="99" t="s">
        <v>197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</row>
    <row r="37" spans="1:25" s="9" customFormat="1" ht="36" customHeight="1" x14ac:dyDescent="0.25">
      <c r="A37" s="91">
        <v>1406</v>
      </c>
      <c r="B37" s="92" t="s">
        <v>184</v>
      </c>
      <c r="C37" s="92">
        <v>2010</v>
      </c>
      <c r="D37" s="105" t="s">
        <v>56</v>
      </c>
      <c r="E37" s="92">
        <v>2016</v>
      </c>
      <c r="F37" s="92" t="s">
        <v>52</v>
      </c>
      <c r="G37" s="93">
        <v>3000</v>
      </c>
      <c r="H37" s="94" t="s">
        <v>42</v>
      </c>
      <c r="I37" s="103" t="s">
        <v>65</v>
      </c>
      <c r="J37" s="96">
        <v>5</v>
      </c>
      <c r="K37" s="96">
        <v>1924</v>
      </c>
      <c r="L37" s="96">
        <v>280.05</v>
      </c>
      <c r="M37" s="97"/>
      <c r="N37" s="98">
        <f>G37*L37</f>
        <v>840150</v>
      </c>
      <c r="O37" s="99" t="s">
        <v>198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1:25" s="9" customFormat="1" ht="49.2" customHeight="1" x14ac:dyDescent="0.25">
      <c r="A38" s="91">
        <v>1407</v>
      </c>
      <c r="B38" s="92" t="s">
        <v>185</v>
      </c>
      <c r="C38" s="92">
        <v>2013</v>
      </c>
      <c r="D38" s="104" t="s">
        <v>186</v>
      </c>
      <c r="E38" s="92">
        <v>2016</v>
      </c>
      <c r="F38" s="92" t="s">
        <v>160</v>
      </c>
      <c r="G38" s="93">
        <f>N38/L38</f>
        <v>216.49797597805534</v>
      </c>
      <c r="H38" s="94" t="s">
        <v>570</v>
      </c>
      <c r="I38" s="95" t="s">
        <v>18</v>
      </c>
      <c r="J38" s="96">
        <v>6</v>
      </c>
      <c r="K38" s="96">
        <v>1925</v>
      </c>
      <c r="L38" s="96">
        <v>375.49</v>
      </c>
      <c r="M38" s="97">
        <v>4.8244999999999996</v>
      </c>
      <c r="N38" s="98">
        <f>16850*M38</f>
        <v>81292.824999999997</v>
      </c>
      <c r="O38" s="99" t="s">
        <v>199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 spans="1:25" s="9" customFormat="1" ht="58.2" customHeight="1" x14ac:dyDescent="0.25">
      <c r="A39" s="106"/>
      <c r="B39" s="100" t="s">
        <v>187</v>
      </c>
      <c r="C39" s="100">
        <v>2015</v>
      </c>
      <c r="D39" s="104" t="s">
        <v>164</v>
      </c>
      <c r="E39" s="100" t="s">
        <v>84</v>
      </c>
      <c r="F39" s="92" t="s">
        <v>113</v>
      </c>
      <c r="G39" s="107">
        <v>400</v>
      </c>
      <c r="H39" s="94" t="s">
        <v>188</v>
      </c>
      <c r="I39" s="108" t="s">
        <v>253</v>
      </c>
      <c r="J39" s="109"/>
      <c r="K39" s="109"/>
      <c r="L39" s="109">
        <v>280.05</v>
      </c>
      <c r="M39" s="110"/>
      <c r="N39" s="111">
        <f>G39*L39</f>
        <v>112020</v>
      </c>
      <c r="O39" s="99" t="s">
        <v>200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 s="9" customFormat="1" ht="60.6" customHeight="1" x14ac:dyDescent="0.25">
      <c r="A40" s="106"/>
      <c r="B40" s="100" t="s">
        <v>166</v>
      </c>
      <c r="C40" s="100">
        <v>2014</v>
      </c>
      <c r="D40" s="104" t="s">
        <v>165</v>
      </c>
      <c r="E40" s="100" t="s">
        <v>222</v>
      </c>
      <c r="F40" s="92" t="s">
        <v>113</v>
      </c>
      <c r="G40" s="107">
        <v>3750</v>
      </c>
      <c r="H40" s="94" t="s">
        <v>190</v>
      </c>
      <c r="I40" s="108" t="s">
        <v>65</v>
      </c>
      <c r="J40" s="109">
        <v>7</v>
      </c>
      <c r="K40" s="109">
        <v>1926</v>
      </c>
      <c r="L40" s="109">
        <v>280.05</v>
      </c>
      <c r="M40" s="110"/>
      <c r="N40" s="111">
        <f>G40*L40</f>
        <v>1050187.5</v>
      </c>
      <c r="O40" s="99" t="s">
        <v>201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s="9" customFormat="1" ht="22.95" customHeight="1" x14ac:dyDescent="0.25">
      <c r="A41" s="154"/>
      <c r="B41" s="157" t="s">
        <v>184</v>
      </c>
      <c r="C41" s="157">
        <v>2010</v>
      </c>
      <c r="D41" s="160" t="s">
        <v>56</v>
      </c>
      <c r="E41" s="157" t="s">
        <v>202</v>
      </c>
      <c r="F41" s="157" t="s">
        <v>52</v>
      </c>
      <c r="G41" s="107">
        <v>5000</v>
      </c>
      <c r="H41" s="94" t="s">
        <v>49</v>
      </c>
      <c r="I41" s="164" t="s">
        <v>605</v>
      </c>
      <c r="J41" s="135"/>
      <c r="K41" s="135"/>
      <c r="L41" s="109">
        <v>280.05</v>
      </c>
      <c r="M41" s="141"/>
      <c r="N41" s="111">
        <f>G41*L41</f>
        <v>1400250</v>
      </c>
      <c r="O41" s="99" t="s">
        <v>203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 spans="1:25" s="9" customFormat="1" ht="25.2" customHeight="1" x14ac:dyDescent="0.25">
      <c r="A42" s="168"/>
      <c r="B42" s="169"/>
      <c r="C42" s="169"/>
      <c r="D42" s="170"/>
      <c r="E42" s="169"/>
      <c r="F42" s="159"/>
      <c r="G42" s="107">
        <v>2000</v>
      </c>
      <c r="H42" s="94" t="s">
        <v>41</v>
      </c>
      <c r="I42" s="167"/>
      <c r="J42" s="136"/>
      <c r="K42" s="136"/>
      <c r="L42" s="109">
        <v>280.05</v>
      </c>
      <c r="M42" s="142"/>
      <c r="N42" s="111">
        <f>G42*L42</f>
        <v>560100</v>
      </c>
      <c r="O42" s="99" t="s">
        <v>224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s="9" customFormat="1" ht="44.4" customHeight="1" x14ac:dyDescent="0.25">
      <c r="A43" s="106">
        <v>1408</v>
      </c>
      <c r="B43" s="100" t="s">
        <v>204</v>
      </c>
      <c r="C43" s="100">
        <v>2006</v>
      </c>
      <c r="D43" s="104" t="s">
        <v>19</v>
      </c>
      <c r="E43" s="100">
        <v>2016</v>
      </c>
      <c r="F43" s="100" t="s">
        <v>100</v>
      </c>
      <c r="G43" s="107">
        <f t="shared" ref="G43:G50" si="0">N43/L43</f>
        <v>2428.847140419442</v>
      </c>
      <c r="H43" s="94" t="s">
        <v>205</v>
      </c>
      <c r="I43" s="108" t="s">
        <v>65</v>
      </c>
      <c r="J43" s="109">
        <v>8</v>
      </c>
      <c r="K43" s="109">
        <v>1927</v>
      </c>
      <c r="L43" s="109">
        <v>363.34</v>
      </c>
      <c r="M43" s="110">
        <v>4.8014000000000001</v>
      </c>
      <c r="N43" s="111">
        <f>183800*M43</f>
        <v>882497.32000000007</v>
      </c>
      <c r="O43" s="99" t="s">
        <v>206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 s="9" customFormat="1" ht="48.6" customHeight="1" x14ac:dyDescent="0.25">
      <c r="A44" s="106">
        <v>1409</v>
      </c>
      <c r="B44" s="100" t="s">
        <v>207</v>
      </c>
      <c r="C44" s="100">
        <v>2014</v>
      </c>
      <c r="D44" s="104" t="s">
        <v>19</v>
      </c>
      <c r="E44" s="100">
        <v>2016</v>
      </c>
      <c r="F44" s="100" t="s">
        <v>100</v>
      </c>
      <c r="G44" s="107">
        <f t="shared" si="0"/>
        <v>1609.1175758242971</v>
      </c>
      <c r="H44" s="94" t="s">
        <v>208</v>
      </c>
      <c r="I44" s="108" t="s">
        <v>65</v>
      </c>
      <c r="J44" s="109">
        <v>9</v>
      </c>
      <c r="K44" s="109">
        <v>1928</v>
      </c>
      <c r="L44" s="109">
        <v>363.34</v>
      </c>
      <c r="M44" s="110">
        <v>4.7961999999999998</v>
      </c>
      <c r="N44" s="111">
        <f>121900*M44</f>
        <v>584656.78</v>
      </c>
      <c r="O44" s="99" t="s">
        <v>206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s="77" customFormat="1" ht="35.4" customHeight="1" x14ac:dyDescent="0.25">
      <c r="A45" s="106">
        <v>1410</v>
      </c>
      <c r="B45" s="100" t="s">
        <v>209</v>
      </c>
      <c r="C45" s="100">
        <v>2013</v>
      </c>
      <c r="D45" s="104" t="s">
        <v>19</v>
      </c>
      <c r="E45" s="100">
        <v>2016</v>
      </c>
      <c r="F45" s="100" t="s">
        <v>210</v>
      </c>
      <c r="G45" s="107">
        <f t="shared" si="0"/>
        <v>1911.0633291132274</v>
      </c>
      <c r="H45" s="94" t="s">
        <v>211</v>
      </c>
      <c r="I45" s="108" t="s">
        <v>65</v>
      </c>
      <c r="J45" s="109">
        <v>10</v>
      </c>
      <c r="K45" s="109">
        <v>1929</v>
      </c>
      <c r="L45" s="109">
        <v>363.34</v>
      </c>
      <c r="M45" s="110">
        <v>4.7969999999999997</v>
      </c>
      <c r="N45" s="111">
        <f>144750*M45</f>
        <v>694365.75</v>
      </c>
      <c r="O45" s="99" t="s">
        <v>206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s="77" customFormat="1" ht="30" customHeight="1" x14ac:dyDescent="0.25">
      <c r="A46" s="106">
        <v>1411</v>
      </c>
      <c r="B46" s="100" t="s">
        <v>212</v>
      </c>
      <c r="C46" s="100">
        <v>2008</v>
      </c>
      <c r="D46" s="104" t="s">
        <v>19</v>
      </c>
      <c r="E46" s="100">
        <v>2016</v>
      </c>
      <c r="F46" s="100" t="s">
        <v>210</v>
      </c>
      <c r="G46" s="107">
        <f t="shared" si="0"/>
        <v>1929.8205537513077</v>
      </c>
      <c r="H46" s="94" t="s">
        <v>213</v>
      </c>
      <c r="I46" s="108" t="s">
        <v>65</v>
      </c>
      <c r="J46" s="109">
        <v>11</v>
      </c>
      <c r="K46" s="109">
        <v>1930</v>
      </c>
      <c r="L46" s="109">
        <v>363.34</v>
      </c>
      <c r="M46" s="110">
        <v>4.7944000000000004</v>
      </c>
      <c r="N46" s="111">
        <f>146250*M46</f>
        <v>701181.00000000012</v>
      </c>
      <c r="O46" s="99" t="s">
        <v>206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 s="9" customFormat="1" ht="49.95" customHeight="1" x14ac:dyDescent="0.25">
      <c r="A47" s="106">
        <v>1412</v>
      </c>
      <c r="B47" s="100" t="s">
        <v>214</v>
      </c>
      <c r="C47" s="100">
        <v>2012</v>
      </c>
      <c r="D47" s="104" t="s">
        <v>19</v>
      </c>
      <c r="E47" s="100">
        <v>2016</v>
      </c>
      <c r="F47" s="100" t="s">
        <v>100</v>
      </c>
      <c r="G47" s="107">
        <f t="shared" si="0"/>
        <v>2173.125860075962</v>
      </c>
      <c r="H47" s="94" t="s">
        <v>215</v>
      </c>
      <c r="I47" s="108" t="s">
        <v>65</v>
      </c>
      <c r="J47" s="109">
        <v>12</v>
      </c>
      <c r="K47" s="109">
        <v>1931</v>
      </c>
      <c r="L47" s="109">
        <v>363.34</v>
      </c>
      <c r="M47" s="110">
        <v>4.7999000000000001</v>
      </c>
      <c r="N47" s="111">
        <f>164500*M47</f>
        <v>789583.55</v>
      </c>
      <c r="O47" s="99" t="s">
        <v>206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s="77" customFormat="1" ht="61.95" customHeight="1" x14ac:dyDescent="0.25">
      <c r="A48" s="106">
        <v>1413</v>
      </c>
      <c r="B48" s="100" t="s">
        <v>216</v>
      </c>
      <c r="C48" s="100">
        <v>2010</v>
      </c>
      <c r="D48" s="104" t="s">
        <v>19</v>
      </c>
      <c r="E48" s="100">
        <v>2016</v>
      </c>
      <c r="F48" s="100" t="s">
        <v>100</v>
      </c>
      <c r="G48" s="107">
        <f t="shared" si="0"/>
        <v>1828.239114878626</v>
      </c>
      <c r="H48" s="94" t="s">
        <v>554</v>
      </c>
      <c r="I48" s="108" t="s">
        <v>217</v>
      </c>
      <c r="J48" s="109">
        <v>13</v>
      </c>
      <c r="K48" s="109">
        <v>1932</v>
      </c>
      <c r="L48" s="109">
        <v>363.34</v>
      </c>
      <c r="M48" s="110">
        <v>4.9059999999999997</v>
      </c>
      <c r="N48" s="111">
        <f>135400*M48</f>
        <v>664272.39999999991</v>
      </c>
      <c r="O48" s="99" t="s">
        <v>206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 s="9" customFormat="1" ht="49.2" customHeight="1" x14ac:dyDescent="0.25">
      <c r="A49" s="106">
        <v>1414</v>
      </c>
      <c r="B49" s="100" t="s">
        <v>218</v>
      </c>
      <c r="C49" s="100">
        <v>2013</v>
      </c>
      <c r="D49" s="104" t="s">
        <v>19</v>
      </c>
      <c r="E49" s="100">
        <v>2016</v>
      </c>
      <c r="F49" s="100" t="s">
        <v>101</v>
      </c>
      <c r="G49" s="107">
        <f t="shared" si="0"/>
        <v>1850.5410909891561</v>
      </c>
      <c r="H49" s="94" t="s">
        <v>557</v>
      </c>
      <c r="I49" s="108" t="s">
        <v>219</v>
      </c>
      <c r="J49" s="109">
        <v>14</v>
      </c>
      <c r="K49" s="109">
        <v>1933</v>
      </c>
      <c r="L49" s="109">
        <v>363.34</v>
      </c>
      <c r="M49" s="110">
        <v>4.7889999999999997</v>
      </c>
      <c r="N49" s="111">
        <f>140400*M49</f>
        <v>672375.6</v>
      </c>
      <c r="O49" s="99" t="s">
        <v>206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s="9" customFormat="1" ht="34.5" customHeight="1" x14ac:dyDescent="0.25">
      <c r="A50" s="106">
        <v>1415</v>
      </c>
      <c r="B50" s="100" t="s">
        <v>220</v>
      </c>
      <c r="C50" s="100">
        <v>2013</v>
      </c>
      <c r="D50" s="104" t="s">
        <v>19</v>
      </c>
      <c r="E50" s="100">
        <v>2016</v>
      </c>
      <c r="F50" s="100" t="s">
        <v>101</v>
      </c>
      <c r="G50" s="107">
        <f t="shared" si="0"/>
        <v>1900.04827434359</v>
      </c>
      <c r="H50" s="94" t="s">
        <v>221</v>
      </c>
      <c r="I50" s="108" t="s">
        <v>65</v>
      </c>
      <c r="J50" s="109">
        <v>15</v>
      </c>
      <c r="K50" s="109">
        <v>1934</v>
      </c>
      <c r="L50" s="109">
        <v>363.34</v>
      </c>
      <c r="M50" s="110">
        <v>4.8041999999999998</v>
      </c>
      <c r="N50" s="111">
        <f>143700*M50</f>
        <v>690363.53999999992</v>
      </c>
      <c r="O50" s="99" t="s">
        <v>206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1:25" s="9" customFormat="1" ht="34.950000000000003" customHeight="1" x14ac:dyDescent="0.25">
      <c r="A51" s="106"/>
      <c r="B51" s="100" t="s">
        <v>45</v>
      </c>
      <c r="C51" s="100">
        <v>1999</v>
      </c>
      <c r="D51" s="104" t="s">
        <v>19</v>
      </c>
      <c r="E51" s="100" t="s">
        <v>174</v>
      </c>
      <c r="F51" s="92" t="s">
        <v>38</v>
      </c>
      <c r="G51" s="107">
        <v>1521</v>
      </c>
      <c r="H51" s="94" t="s">
        <v>223</v>
      </c>
      <c r="I51" s="108" t="s">
        <v>65</v>
      </c>
      <c r="J51" s="109">
        <v>16</v>
      </c>
      <c r="K51" s="109">
        <v>1935</v>
      </c>
      <c r="L51" s="109">
        <v>366.49</v>
      </c>
      <c r="M51" s="110"/>
      <c r="N51" s="111">
        <f>G51*L51</f>
        <v>557431.29</v>
      </c>
      <c r="O51" s="99" t="s">
        <v>206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" s="9" customFormat="1" ht="49.95" customHeight="1" x14ac:dyDescent="0.25">
      <c r="A52" s="106">
        <v>1416</v>
      </c>
      <c r="B52" s="100" t="s">
        <v>225</v>
      </c>
      <c r="C52" s="100">
        <v>2013</v>
      </c>
      <c r="D52" s="104" t="s">
        <v>19</v>
      </c>
      <c r="E52" s="100">
        <v>2016</v>
      </c>
      <c r="F52" s="92" t="s">
        <v>38</v>
      </c>
      <c r="G52" s="107">
        <v>4000</v>
      </c>
      <c r="H52" s="94" t="s">
        <v>47</v>
      </c>
      <c r="I52" s="108" t="s">
        <v>226</v>
      </c>
      <c r="J52" s="109">
        <v>17</v>
      </c>
      <c r="K52" s="109">
        <v>1936</v>
      </c>
      <c r="L52" s="109">
        <v>280.05</v>
      </c>
      <c r="M52" s="110"/>
      <c r="N52" s="111">
        <f>G52*L52</f>
        <v>1120200</v>
      </c>
      <c r="O52" s="99" t="s">
        <v>224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" s="9" customFormat="1" ht="46.95" customHeight="1" x14ac:dyDescent="0.25">
      <c r="A53" s="106">
        <v>1417</v>
      </c>
      <c r="B53" s="100" t="s">
        <v>227</v>
      </c>
      <c r="C53" s="100">
        <v>2013</v>
      </c>
      <c r="D53" s="104" t="s">
        <v>19</v>
      </c>
      <c r="E53" s="100">
        <v>2016</v>
      </c>
      <c r="F53" s="92" t="s">
        <v>38</v>
      </c>
      <c r="G53" s="107">
        <v>3999</v>
      </c>
      <c r="H53" s="94" t="s">
        <v>228</v>
      </c>
      <c r="I53" s="108" t="s">
        <v>226</v>
      </c>
      <c r="J53" s="109">
        <v>18</v>
      </c>
      <c r="K53" s="109">
        <v>1937</v>
      </c>
      <c r="L53" s="109">
        <v>280.05</v>
      </c>
      <c r="M53" s="110"/>
      <c r="N53" s="111">
        <f>G53*L53</f>
        <v>1119919.95</v>
      </c>
      <c r="O53" s="99" t="s">
        <v>224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" s="9" customFormat="1" ht="46.95" customHeight="1" x14ac:dyDescent="0.25">
      <c r="A54" s="106">
        <v>1418</v>
      </c>
      <c r="B54" s="100" t="s">
        <v>229</v>
      </c>
      <c r="C54" s="100">
        <v>2013</v>
      </c>
      <c r="D54" s="104" t="s">
        <v>19</v>
      </c>
      <c r="E54" s="100">
        <v>2016</v>
      </c>
      <c r="F54" s="100" t="s">
        <v>103</v>
      </c>
      <c r="G54" s="107">
        <v>3730</v>
      </c>
      <c r="H54" s="94" t="s">
        <v>230</v>
      </c>
      <c r="I54" s="108" t="s">
        <v>226</v>
      </c>
      <c r="J54" s="109">
        <v>19</v>
      </c>
      <c r="K54" s="109">
        <v>1938</v>
      </c>
      <c r="L54" s="109">
        <v>280.05</v>
      </c>
      <c r="M54" s="110"/>
      <c r="N54" s="111">
        <f>G54*L54</f>
        <v>1044586.5</v>
      </c>
      <c r="O54" s="99" t="s">
        <v>224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 s="9" customFormat="1" ht="61.95" customHeight="1" x14ac:dyDescent="0.25">
      <c r="A55" s="106">
        <v>1419</v>
      </c>
      <c r="B55" s="100" t="s">
        <v>231</v>
      </c>
      <c r="C55" s="100">
        <v>2015</v>
      </c>
      <c r="D55" s="104" t="s">
        <v>19</v>
      </c>
      <c r="E55" s="100">
        <v>2016</v>
      </c>
      <c r="F55" s="100" t="s">
        <v>120</v>
      </c>
      <c r="G55" s="107">
        <v>3998</v>
      </c>
      <c r="H55" s="94" t="s">
        <v>86</v>
      </c>
      <c r="I55" s="108" t="s">
        <v>226</v>
      </c>
      <c r="J55" s="109">
        <v>20</v>
      </c>
      <c r="K55" s="109">
        <v>1939</v>
      </c>
      <c r="L55" s="109">
        <v>280.05</v>
      </c>
      <c r="M55" s="110"/>
      <c r="N55" s="111">
        <f>G55*L55</f>
        <v>1119639.9000000001</v>
      </c>
      <c r="O55" s="99" t="s">
        <v>224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" s="9" customFormat="1" ht="45" customHeight="1" x14ac:dyDescent="0.25">
      <c r="A56" s="106">
        <v>1420</v>
      </c>
      <c r="B56" s="100" t="s">
        <v>232</v>
      </c>
      <c r="C56" s="100">
        <v>2013</v>
      </c>
      <c r="D56" s="104" t="s">
        <v>19</v>
      </c>
      <c r="E56" s="100">
        <v>2016</v>
      </c>
      <c r="F56" s="100" t="s">
        <v>100</v>
      </c>
      <c r="G56" s="107">
        <f t="shared" ref="G56:G61" si="1">N56/L56</f>
        <v>2347.5904304092919</v>
      </c>
      <c r="H56" s="94" t="s">
        <v>233</v>
      </c>
      <c r="I56" s="108" t="s">
        <v>219</v>
      </c>
      <c r="J56" s="109">
        <v>21</v>
      </c>
      <c r="K56" s="109">
        <v>1940</v>
      </c>
      <c r="L56" s="109">
        <v>359.89</v>
      </c>
      <c r="M56" s="110">
        <v>4.7042000000000002</v>
      </c>
      <c r="N56" s="111">
        <f>179600*M56</f>
        <v>844874.32000000007</v>
      </c>
      <c r="O56" s="99" t="s">
        <v>224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" s="9" customFormat="1" ht="34.950000000000003" customHeight="1" x14ac:dyDescent="0.25">
      <c r="A57" s="106">
        <v>1421</v>
      </c>
      <c r="B57" s="100" t="s">
        <v>234</v>
      </c>
      <c r="C57" s="100">
        <v>2011</v>
      </c>
      <c r="D57" s="104" t="s">
        <v>19</v>
      </c>
      <c r="E57" s="100">
        <v>2016</v>
      </c>
      <c r="F57" s="100" t="s">
        <v>101</v>
      </c>
      <c r="G57" s="107">
        <f t="shared" si="1"/>
        <v>2052.7962094513969</v>
      </c>
      <c r="H57" s="94" t="s">
        <v>235</v>
      </c>
      <c r="I57" s="108" t="s">
        <v>65</v>
      </c>
      <c r="J57" s="109">
        <v>22</v>
      </c>
      <c r="K57" s="109">
        <v>1941</v>
      </c>
      <c r="L57" s="109">
        <v>360.37</v>
      </c>
      <c r="M57" s="110">
        <v>4.7028999999999996</v>
      </c>
      <c r="N57" s="111">
        <f>157300*M57</f>
        <v>739766.16999999993</v>
      </c>
      <c r="O57" s="99" t="s">
        <v>236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 s="9" customFormat="1" ht="31.2" customHeight="1" x14ac:dyDescent="0.25">
      <c r="A58" s="154">
        <v>1422</v>
      </c>
      <c r="B58" s="157" t="s">
        <v>237</v>
      </c>
      <c r="C58" s="157">
        <v>2008</v>
      </c>
      <c r="D58" s="160" t="s">
        <v>19</v>
      </c>
      <c r="E58" s="157">
        <v>2016</v>
      </c>
      <c r="F58" s="157" t="s">
        <v>87</v>
      </c>
      <c r="G58" s="107">
        <f t="shared" si="1"/>
        <v>1937.6809168354748</v>
      </c>
      <c r="H58" s="94" t="s">
        <v>238</v>
      </c>
      <c r="I58" s="164" t="s">
        <v>65</v>
      </c>
      <c r="J58" s="135">
        <v>23</v>
      </c>
      <c r="K58" s="135">
        <v>1942</v>
      </c>
      <c r="L58" s="109">
        <v>360.37</v>
      </c>
      <c r="M58" s="110">
        <v>275.12</v>
      </c>
      <c r="N58" s="111">
        <f>2538.1*M58</f>
        <v>698282.07200000004</v>
      </c>
      <c r="O58" s="99" t="s">
        <v>236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 s="9" customFormat="1" ht="28.95" customHeight="1" x14ac:dyDescent="0.25">
      <c r="A59" s="168"/>
      <c r="B59" s="169"/>
      <c r="C59" s="169"/>
      <c r="D59" s="170"/>
      <c r="E59" s="169"/>
      <c r="F59" s="169"/>
      <c r="G59" s="107">
        <f t="shared" si="1"/>
        <v>730.57981945172958</v>
      </c>
      <c r="H59" s="94" t="s">
        <v>585</v>
      </c>
      <c r="I59" s="167"/>
      <c r="J59" s="136"/>
      <c r="K59" s="136"/>
      <c r="L59" s="109">
        <v>362.23</v>
      </c>
      <c r="M59" s="110">
        <v>275.12</v>
      </c>
      <c r="N59" s="111">
        <f>961.9*M59</f>
        <v>264637.92800000001</v>
      </c>
      <c r="O59" s="99" t="s">
        <v>242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s="9" customFormat="1" ht="34.950000000000003" customHeight="1" x14ac:dyDescent="0.25">
      <c r="A60" s="106">
        <v>1423</v>
      </c>
      <c r="B60" s="100" t="s">
        <v>239</v>
      </c>
      <c r="C60" s="100">
        <v>2015</v>
      </c>
      <c r="D60" s="104" t="s">
        <v>19</v>
      </c>
      <c r="E60" s="100">
        <v>2016</v>
      </c>
      <c r="F60" s="92" t="s">
        <v>122</v>
      </c>
      <c r="G60" s="107">
        <f t="shared" si="1"/>
        <v>3574.2597885506561</v>
      </c>
      <c r="H60" s="94" t="s">
        <v>105</v>
      </c>
      <c r="I60" s="108" t="s">
        <v>65</v>
      </c>
      <c r="J60" s="109">
        <v>24</v>
      </c>
      <c r="K60" s="109">
        <v>1943</v>
      </c>
      <c r="L60" s="109">
        <v>360.37</v>
      </c>
      <c r="M60" s="110">
        <v>55.76</v>
      </c>
      <c r="N60" s="111">
        <f>23100*M60</f>
        <v>1288056</v>
      </c>
      <c r="O60" s="99" t="s">
        <v>236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 s="9" customFormat="1" ht="32.4" customHeight="1" x14ac:dyDescent="0.25">
      <c r="A61" s="106">
        <v>1424</v>
      </c>
      <c r="B61" s="100" t="s">
        <v>240</v>
      </c>
      <c r="C61" s="100">
        <v>2014</v>
      </c>
      <c r="D61" s="104" t="s">
        <v>19</v>
      </c>
      <c r="E61" s="100">
        <v>2016</v>
      </c>
      <c r="F61" s="92" t="s">
        <v>171</v>
      </c>
      <c r="G61" s="107">
        <f t="shared" si="1"/>
        <v>478.08380275827619</v>
      </c>
      <c r="H61" s="94" t="s">
        <v>556</v>
      </c>
      <c r="I61" s="108" t="s">
        <v>65</v>
      </c>
      <c r="J61" s="109">
        <v>25</v>
      </c>
      <c r="K61" s="109">
        <v>1944</v>
      </c>
      <c r="L61" s="109">
        <v>360.37</v>
      </c>
      <c r="M61" s="110">
        <v>4.7462</v>
      </c>
      <c r="N61" s="111">
        <f>36300*M61</f>
        <v>172287.06</v>
      </c>
      <c r="O61" s="99" t="s">
        <v>236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1:25" s="9" customFormat="1" ht="49.95" customHeight="1" x14ac:dyDescent="0.25">
      <c r="A62" s="106">
        <v>1425</v>
      </c>
      <c r="B62" s="100" t="s">
        <v>241</v>
      </c>
      <c r="C62" s="100">
        <v>2015</v>
      </c>
      <c r="D62" s="104" t="s">
        <v>19</v>
      </c>
      <c r="E62" s="100">
        <v>2016</v>
      </c>
      <c r="F62" s="100" t="s">
        <v>103</v>
      </c>
      <c r="G62" s="107">
        <v>3855</v>
      </c>
      <c r="H62" s="94" t="s">
        <v>156</v>
      </c>
      <c r="I62" s="108" t="s">
        <v>219</v>
      </c>
      <c r="J62" s="109">
        <v>26</v>
      </c>
      <c r="K62" s="109">
        <v>1945</v>
      </c>
      <c r="L62" s="109">
        <v>280.05</v>
      </c>
      <c r="M62" s="110"/>
      <c r="N62" s="111">
        <f>G62*L62</f>
        <v>1079592.75</v>
      </c>
      <c r="O62" s="99" t="s">
        <v>236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1:25" s="9" customFormat="1" ht="48.6" customHeight="1" x14ac:dyDescent="0.25">
      <c r="A63" s="106">
        <v>1426</v>
      </c>
      <c r="B63" s="100" t="s">
        <v>243</v>
      </c>
      <c r="C63" s="100">
        <v>2015</v>
      </c>
      <c r="D63" s="105" t="s">
        <v>244</v>
      </c>
      <c r="E63" s="100">
        <v>2016</v>
      </c>
      <c r="F63" s="100" t="s">
        <v>112</v>
      </c>
      <c r="G63" s="107">
        <f>N63/L63</f>
        <v>1219.7594848880133</v>
      </c>
      <c r="H63" s="94" t="s">
        <v>44</v>
      </c>
      <c r="I63" s="108" t="s">
        <v>65</v>
      </c>
      <c r="J63" s="109">
        <v>27</v>
      </c>
      <c r="K63" s="109">
        <v>1946</v>
      </c>
      <c r="L63" s="109">
        <v>360.31</v>
      </c>
      <c r="M63" s="110">
        <v>4.8509000000000002</v>
      </c>
      <c r="N63" s="111">
        <f>90600*M63</f>
        <v>439491.54000000004</v>
      </c>
      <c r="O63" s="99" t="s">
        <v>245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1:25" s="9" customFormat="1" ht="64.2" customHeight="1" x14ac:dyDescent="0.25">
      <c r="A64" s="106"/>
      <c r="B64" s="100" t="s">
        <v>59</v>
      </c>
      <c r="C64" s="100">
        <v>2010</v>
      </c>
      <c r="D64" s="112" t="s">
        <v>13</v>
      </c>
      <c r="E64" s="100" t="s">
        <v>246</v>
      </c>
      <c r="F64" s="100" t="s">
        <v>112</v>
      </c>
      <c r="G64" s="107">
        <f>N64/L64</f>
        <v>379.03395687047265</v>
      </c>
      <c r="H64" s="94" t="s">
        <v>247</v>
      </c>
      <c r="I64" s="108" t="s">
        <v>65</v>
      </c>
      <c r="J64" s="109">
        <v>28</v>
      </c>
      <c r="K64" s="109">
        <v>1947</v>
      </c>
      <c r="L64" s="109">
        <v>360.31</v>
      </c>
      <c r="M64" s="110">
        <v>4.8514999999999997</v>
      </c>
      <c r="N64" s="111">
        <f>28150*M64</f>
        <v>136569.72500000001</v>
      </c>
      <c r="O64" s="99" t="s">
        <v>245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 s="9" customFormat="1" ht="57.6" customHeight="1" x14ac:dyDescent="0.25">
      <c r="A65" s="106">
        <v>1427</v>
      </c>
      <c r="B65" s="100" t="s">
        <v>248</v>
      </c>
      <c r="C65" s="100">
        <v>1998</v>
      </c>
      <c r="D65" s="105" t="s">
        <v>249</v>
      </c>
      <c r="E65" s="100">
        <v>2016</v>
      </c>
      <c r="F65" s="102" t="s">
        <v>93</v>
      </c>
      <c r="G65" s="107">
        <v>9000</v>
      </c>
      <c r="H65" s="94" t="s">
        <v>25</v>
      </c>
      <c r="I65" s="133" t="s">
        <v>605</v>
      </c>
      <c r="J65" s="109">
        <v>29</v>
      </c>
      <c r="K65" s="109">
        <v>1948</v>
      </c>
      <c r="L65" s="109">
        <v>280.05</v>
      </c>
      <c r="M65" s="110"/>
      <c r="N65" s="111">
        <f>G65*L65</f>
        <v>2520450</v>
      </c>
      <c r="O65" s="99" t="s">
        <v>245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 s="9" customFormat="1" ht="73.95" customHeight="1" x14ac:dyDescent="0.25">
      <c r="A66" s="106"/>
      <c r="B66" s="100" t="s">
        <v>182</v>
      </c>
      <c r="C66" s="100">
        <v>2005</v>
      </c>
      <c r="D66" s="104" t="s">
        <v>183</v>
      </c>
      <c r="E66" s="100" t="s">
        <v>202</v>
      </c>
      <c r="F66" s="102" t="s">
        <v>93</v>
      </c>
      <c r="G66" s="107">
        <v>7500</v>
      </c>
      <c r="H66" s="94" t="s">
        <v>250</v>
      </c>
      <c r="I66" s="108" t="s">
        <v>65</v>
      </c>
      <c r="J66" s="109"/>
      <c r="K66" s="109"/>
      <c r="L66" s="109">
        <v>280.05</v>
      </c>
      <c r="M66" s="110"/>
      <c r="N66" s="111">
        <f>G66*L66</f>
        <v>2100375</v>
      </c>
      <c r="O66" s="99" t="s">
        <v>245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 s="9" customFormat="1" ht="85.95" customHeight="1" x14ac:dyDescent="0.25">
      <c r="A67" s="106"/>
      <c r="B67" s="100" t="s">
        <v>71</v>
      </c>
      <c r="C67" s="100">
        <v>2013</v>
      </c>
      <c r="D67" s="113" t="s">
        <v>131</v>
      </c>
      <c r="E67" s="100" t="s">
        <v>189</v>
      </c>
      <c r="F67" s="100" t="s">
        <v>251</v>
      </c>
      <c r="G67" s="107">
        <f>N67/L67</f>
        <v>1068.9032587682959</v>
      </c>
      <c r="H67" s="94" t="s">
        <v>571</v>
      </c>
      <c r="I67" s="108" t="s">
        <v>65</v>
      </c>
      <c r="J67" s="109">
        <v>30</v>
      </c>
      <c r="K67" s="109">
        <v>1949</v>
      </c>
      <c r="L67" s="109">
        <v>362.1</v>
      </c>
      <c r="M67" s="110">
        <v>4.7843</v>
      </c>
      <c r="N67" s="111">
        <f>80900*M67</f>
        <v>387049.87</v>
      </c>
      <c r="O67" s="99" t="s">
        <v>252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 spans="1:25" s="9" customFormat="1" ht="71.400000000000006" customHeight="1" x14ac:dyDescent="0.25">
      <c r="A68" s="130"/>
      <c r="B68" s="131" t="s">
        <v>601</v>
      </c>
      <c r="C68" s="131">
        <v>2013</v>
      </c>
      <c r="D68" s="113" t="s">
        <v>602</v>
      </c>
      <c r="E68" s="131" t="s">
        <v>175</v>
      </c>
      <c r="F68" s="131" t="s">
        <v>37</v>
      </c>
      <c r="G68" s="132">
        <v>834</v>
      </c>
      <c r="H68" s="94" t="s">
        <v>603</v>
      </c>
      <c r="I68" s="129" t="s">
        <v>65</v>
      </c>
      <c r="J68" s="126"/>
      <c r="K68" s="126"/>
      <c r="L68" s="126">
        <v>4.5999999999999996</v>
      </c>
      <c r="M68" s="128"/>
      <c r="N68" s="127">
        <f>63232*L68</f>
        <v>290867.19999999995</v>
      </c>
      <c r="O68" s="99" t="s">
        <v>604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spans="1:25" s="9" customFormat="1" ht="118.2" customHeight="1" x14ac:dyDescent="0.25">
      <c r="A69" s="106"/>
      <c r="B69" s="100" t="s">
        <v>184</v>
      </c>
      <c r="C69" s="100">
        <v>2010</v>
      </c>
      <c r="D69" s="104" t="s">
        <v>56</v>
      </c>
      <c r="E69" s="100" t="s">
        <v>202</v>
      </c>
      <c r="F69" s="92" t="s">
        <v>52</v>
      </c>
      <c r="G69" s="107">
        <v>3252</v>
      </c>
      <c r="H69" s="94" t="s">
        <v>254</v>
      </c>
      <c r="I69" s="95" t="s">
        <v>607</v>
      </c>
      <c r="J69" s="109"/>
      <c r="K69" s="109"/>
      <c r="L69" s="109">
        <v>280.05</v>
      </c>
      <c r="M69" s="110"/>
      <c r="N69" s="111">
        <f>G69*L69</f>
        <v>910722.60000000009</v>
      </c>
      <c r="O69" s="99" t="s">
        <v>255</v>
      </c>
      <c r="P69" s="28"/>
      <c r="Q69" s="29"/>
      <c r="R69" s="29"/>
      <c r="S69" s="29"/>
      <c r="T69" s="29"/>
      <c r="U69" s="29"/>
      <c r="V69" s="29"/>
      <c r="W69" s="29"/>
      <c r="X69" s="29"/>
      <c r="Y69" s="29"/>
    </row>
    <row r="70" spans="1:25" s="9" customFormat="1" ht="76.95" customHeight="1" x14ac:dyDescent="0.25">
      <c r="A70" s="106">
        <v>1428</v>
      </c>
      <c r="B70" s="100" t="s">
        <v>256</v>
      </c>
      <c r="C70" s="100">
        <v>2011</v>
      </c>
      <c r="D70" s="105" t="s">
        <v>257</v>
      </c>
      <c r="E70" s="100">
        <v>2016</v>
      </c>
      <c r="F70" s="92" t="s">
        <v>46</v>
      </c>
      <c r="G70" s="107">
        <v>600</v>
      </c>
      <c r="H70" s="94" t="s">
        <v>577</v>
      </c>
      <c r="I70" s="108" t="s">
        <v>65</v>
      </c>
      <c r="J70" s="109">
        <v>31</v>
      </c>
      <c r="K70" s="109">
        <v>1950</v>
      </c>
      <c r="L70" s="109">
        <v>280.05</v>
      </c>
      <c r="M70" s="110"/>
      <c r="N70" s="111">
        <f>G70*L70</f>
        <v>168030</v>
      </c>
      <c r="O70" s="99" t="s">
        <v>258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 s="9" customFormat="1" ht="39" customHeight="1" x14ac:dyDescent="0.25">
      <c r="A71" s="154"/>
      <c r="B71" s="157" t="s">
        <v>20</v>
      </c>
      <c r="C71" s="157">
        <v>2007</v>
      </c>
      <c r="D71" s="160" t="s">
        <v>146</v>
      </c>
      <c r="E71" s="157" t="s">
        <v>259</v>
      </c>
      <c r="F71" s="157" t="s">
        <v>52</v>
      </c>
      <c r="G71" s="107">
        <v>9000</v>
      </c>
      <c r="H71" s="94" t="s">
        <v>25</v>
      </c>
      <c r="I71" s="164" t="s">
        <v>65</v>
      </c>
      <c r="J71" s="135">
        <v>32</v>
      </c>
      <c r="K71" s="135">
        <v>1951</v>
      </c>
      <c r="L71" s="135">
        <v>280.05</v>
      </c>
      <c r="M71" s="141"/>
      <c r="N71" s="111">
        <f>G71*L71</f>
        <v>2520450</v>
      </c>
      <c r="O71" s="99" t="s">
        <v>258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 s="9" customFormat="1" ht="62.4" customHeight="1" x14ac:dyDescent="0.25">
      <c r="A72" s="168"/>
      <c r="B72" s="169"/>
      <c r="C72" s="169"/>
      <c r="D72" s="170"/>
      <c r="E72" s="159"/>
      <c r="F72" s="169"/>
      <c r="G72" s="107">
        <v>3800</v>
      </c>
      <c r="H72" s="94" t="s">
        <v>23</v>
      </c>
      <c r="I72" s="167"/>
      <c r="J72" s="136"/>
      <c r="K72" s="136"/>
      <c r="L72" s="136"/>
      <c r="M72" s="142"/>
      <c r="N72" s="111">
        <f>G72*L71</f>
        <v>1064190</v>
      </c>
      <c r="O72" s="99" t="s">
        <v>262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s="9" customFormat="1" ht="127.95" customHeight="1" x14ac:dyDescent="0.25">
      <c r="A73" s="106"/>
      <c r="B73" s="100" t="s">
        <v>260</v>
      </c>
      <c r="C73" s="100">
        <v>2008</v>
      </c>
      <c r="D73" s="104" t="s">
        <v>261</v>
      </c>
      <c r="E73" s="100" t="s">
        <v>222</v>
      </c>
      <c r="F73" s="92" t="s">
        <v>46</v>
      </c>
      <c r="G73" s="107">
        <v>1000</v>
      </c>
      <c r="H73" s="94" t="s">
        <v>92</v>
      </c>
      <c r="I73" s="95" t="s">
        <v>576</v>
      </c>
      <c r="J73" s="109">
        <v>33</v>
      </c>
      <c r="K73" s="109">
        <v>1952</v>
      </c>
      <c r="L73" s="109">
        <v>280.05</v>
      </c>
      <c r="M73" s="110"/>
      <c r="N73" s="111">
        <f>G73*L73</f>
        <v>280050</v>
      </c>
      <c r="O73" s="99" t="s">
        <v>258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s="9" customFormat="1" ht="27" customHeight="1" x14ac:dyDescent="0.25">
      <c r="A74" s="154"/>
      <c r="B74" s="157" t="s">
        <v>248</v>
      </c>
      <c r="C74" s="157">
        <v>1998</v>
      </c>
      <c r="D74" s="160" t="s">
        <v>249</v>
      </c>
      <c r="E74" s="157" t="s">
        <v>202</v>
      </c>
      <c r="F74" s="162" t="s">
        <v>93</v>
      </c>
      <c r="G74" s="107">
        <v>9000</v>
      </c>
      <c r="H74" s="94" t="s">
        <v>25</v>
      </c>
      <c r="I74" s="164" t="s">
        <v>65</v>
      </c>
      <c r="J74" s="135"/>
      <c r="K74" s="135"/>
      <c r="L74" s="135">
        <v>280.05</v>
      </c>
      <c r="M74" s="141"/>
      <c r="N74" s="111">
        <f>G74*L74</f>
        <v>2520450</v>
      </c>
      <c r="O74" s="99" t="s">
        <v>258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s="9" customFormat="1" ht="35.25" customHeight="1" x14ac:dyDescent="0.25">
      <c r="A75" s="168"/>
      <c r="B75" s="169"/>
      <c r="C75" s="169"/>
      <c r="D75" s="170"/>
      <c r="E75" s="159"/>
      <c r="F75" s="159"/>
      <c r="G75" s="107">
        <v>2235</v>
      </c>
      <c r="H75" s="94" t="s">
        <v>581</v>
      </c>
      <c r="I75" s="167"/>
      <c r="J75" s="136"/>
      <c r="K75" s="136"/>
      <c r="L75" s="136"/>
      <c r="M75" s="142"/>
      <c r="N75" s="111">
        <f>G75*L74</f>
        <v>625911.75</v>
      </c>
      <c r="O75" s="99" t="s">
        <v>262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s="9" customFormat="1" ht="22.5" customHeight="1" x14ac:dyDescent="0.25">
      <c r="A76" s="154"/>
      <c r="B76" s="157" t="s">
        <v>136</v>
      </c>
      <c r="C76" s="157">
        <v>2014</v>
      </c>
      <c r="D76" s="176" t="s">
        <v>137</v>
      </c>
      <c r="E76" s="157" t="s">
        <v>174</v>
      </c>
      <c r="F76" s="157" t="s">
        <v>46</v>
      </c>
      <c r="G76" s="143">
        <v>1500</v>
      </c>
      <c r="H76" s="178" t="s">
        <v>50</v>
      </c>
      <c r="I76" s="164" t="s">
        <v>65</v>
      </c>
      <c r="J76" s="135">
        <v>34</v>
      </c>
      <c r="K76" s="135">
        <v>1953</v>
      </c>
      <c r="L76" s="135">
        <v>280.05</v>
      </c>
      <c r="M76" s="141"/>
      <c r="N76" s="137">
        <f>G76*L76</f>
        <v>420075</v>
      </c>
      <c r="O76" s="139" t="s">
        <v>258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s="9" customFormat="1" ht="18.75" customHeight="1" x14ac:dyDescent="0.25">
      <c r="A77" s="168"/>
      <c r="B77" s="169"/>
      <c r="C77" s="169"/>
      <c r="D77" s="177"/>
      <c r="E77" s="159"/>
      <c r="F77" s="159"/>
      <c r="G77" s="172"/>
      <c r="H77" s="179"/>
      <c r="I77" s="167"/>
      <c r="J77" s="136"/>
      <c r="K77" s="136"/>
      <c r="L77" s="136"/>
      <c r="M77" s="142"/>
      <c r="N77" s="138"/>
      <c r="O77" s="140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s="9" customFormat="1" ht="44.4" customHeight="1" x14ac:dyDescent="0.25">
      <c r="A78" s="106"/>
      <c r="B78" s="100" t="s">
        <v>243</v>
      </c>
      <c r="C78" s="100">
        <v>2015</v>
      </c>
      <c r="D78" s="105" t="s">
        <v>244</v>
      </c>
      <c r="E78" s="92" t="s">
        <v>202</v>
      </c>
      <c r="F78" s="100" t="s">
        <v>112</v>
      </c>
      <c r="G78" s="107">
        <f>N78/L78</f>
        <v>1460.0211518565354</v>
      </c>
      <c r="H78" s="94" t="s">
        <v>263</v>
      </c>
      <c r="I78" s="114" t="s">
        <v>65</v>
      </c>
      <c r="J78" s="109"/>
      <c r="K78" s="109"/>
      <c r="L78" s="109">
        <v>347.96</v>
      </c>
      <c r="M78" s="110">
        <v>4.7792000000000003</v>
      </c>
      <c r="N78" s="111">
        <f>106300*M78</f>
        <v>508028.96</v>
      </c>
      <c r="O78" s="99" t="s">
        <v>262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s="9" customFormat="1" ht="61.2" customHeight="1" x14ac:dyDescent="0.25">
      <c r="A79" s="106">
        <v>1429</v>
      </c>
      <c r="B79" s="100" t="s">
        <v>264</v>
      </c>
      <c r="C79" s="100">
        <v>2013</v>
      </c>
      <c r="D79" s="115" t="s">
        <v>13</v>
      </c>
      <c r="E79" s="116">
        <v>2016</v>
      </c>
      <c r="F79" s="100" t="s">
        <v>112</v>
      </c>
      <c r="G79" s="107">
        <f>N79/L79</f>
        <v>917.75697206575478</v>
      </c>
      <c r="H79" s="94" t="s">
        <v>560</v>
      </c>
      <c r="I79" s="114" t="s">
        <v>65</v>
      </c>
      <c r="J79" s="109">
        <v>35</v>
      </c>
      <c r="K79" s="109">
        <v>1954</v>
      </c>
      <c r="L79" s="109">
        <v>347.96</v>
      </c>
      <c r="M79" s="110">
        <v>4.8874000000000004</v>
      </c>
      <c r="N79" s="111">
        <f>65340*M79</f>
        <v>319342.71600000001</v>
      </c>
      <c r="O79" s="99" t="s">
        <v>262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s="9" customFormat="1" ht="36.6" customHeight="1" x14ac:dyDescent="0.25">
      <c r="A80" s="106"/>
      <c r="B80" s="100" t="s">
        <v>184</v>
      </c>
      <c r="C80" s="100">
        <v>2010</v>
      </c>
      <c r="D80" s="104" t="s">
        <v>56</v>
      </c>
      <c r="E80" s="100" t="s">
        <v>202</v>
      </c>
      <c r="F80" s="92" t="s">
        <v>52</v>
      </c>
      <c r="G80" s="107">
        <v>3000</v>
      </c>
      <c r="H80" s="94" t="s">
        <v>42</v>
      </c>
      <c r="I80" s="95" t="s">
        <v>18</v>
      </c>
      <c r="J80" s="109"/>
      <c r="K80" s="109"/>
      <c r="L80" s="109">
        <v>345.93</v>
      </c>
      <c r="M80" s="110"/>
      <c r="N80" s="111">
        <f>G80*L80</f>
        <v>1037790</v>
      </c>
      <c r="O80" s="99" t="s">
        <v>265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 s="9" customFormat="1" ht="47.4" customHeight="1" x14ac:dyDescent="0.25">
      <c r="A81" s="106">
        <v>1430</v>
      </c>
      <c r="B81" s="100" t="s">
        <v>266</v>
      </c>
      <c r="C81" s="100">
        <v>2015</v>
      </c>
      <c r="D81" s="105" t="s">
        <v>139</v>
      </c>
      <c r="E81" s="116">
        <v>2016</v>
      </c>
      <c r="F81" s="100" t="s">
        <v>78</v>
      </c>
      <c r="G81" s="107">
        <f>N81/L81</f>
        <v>1467.0104631718646</v>
      </c>
      <c r="H81" s="94" t="s">
        <v>267</v>
      </c>
      <c r="I81" s="114" t="s">
        <v>65</v>
      </c>
      <c r="J81" s="109">
        <v>36</v>
      </c>
      <c r="K81" s="109">
        <v>1955</v>
      </c>
      <c r="L81" s="109">
        <v>346.61</v>
      </c>
      <c r="M81" s="110">
        <v>5.2991999999999999</v>
      </c>
      <c r="N81" s="111">
        <f>95954.2*M81</f>
        <v>508480.49663999997</v>
      </c>
      <c r="O81" s="99" t="s">
        <v>268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s="9" customFormat="1" ht="102" customHeight="1" x14ac:dyDescent="0.25">
      <c r="A82" s="106"/>
      <c r="B82" s="100" t="s">
        <v>20</v>
      </c>
      <c r="C82" s="100">
        <v>2007</v>
      </c>
      <c r="D82" s="104" t="s">
        <v>146</v>
      </c>
      <c r="E82" s="100" t="s">
        <v>202</v>
      </c>
      <c r="F82" s="92" t="s">
        <v>52</v>
      </c>
      <c r="G82" s="107">
        <v>3800</v>
      </c>
      <c r="H82" s="94" t="s">
        <v>23</v>
      </c>
      <c r="I82" s="95" t="s">
        <v>18</v>
      </c>
      <c r="J82" s="109"/>
      <c r="K82" s="109"/>
      <c r="L82" s="109">
        <v>348.24</v>
      </c>
      <c r="M82" s="110"/>
      <c r="N82" s="111">
        <f>G82*L82</f>
        <v>1323312</v>
      </c>
      <c r="O82" s="99" t="s">
        <v>268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s="9" customFormat="1" ht="45.6" customHeight="1" x14ac:dyDescent="0.25">
      <c r="A83" s="106"/>
      <c r="B83" s="100" t="s">
        <v>108</v>
      </c>
      <c r="C83" s="100">
        <v>2014</v>
      </c>
      <c r="D83" s="88" t="s">
        <v>36</v>
      </c>
      <c r="E83" s="116" t="s">
        <v>222</v>
      </c>
      <c r="F83" s="92" t="s">
        <v>52</v>
      </c>
      <c r="G83" s="107">
        <v>7320</v>
      </c>
      <c r="H83" s="94" t="s">
        <v>269</v>
      </c>
      <c r="I83" s="114" t="s">
        <v>65</v>
      </c>
      <c r="J83" s="109">
        <v>37</v>
      </c>
      <c r="K83" s="109">
        <v>1956</v>
      </c>
      <c r="L83" s="109">
        <v>280.05</v>
      </c>
      <c r="M83" s="110"/>
      <c r="N83" s="111">
        <f>G83*L83</f>
        <v>2049966</v>
      </c>
      <c r="O83" s="99" t="s">
        <v>268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s="9" customFormat="1" ht="60" customHeight="1" x14ac:dyDescent="0.25">
      <c r="A84" s="106">
        <v>1431</v>
      </c>
      <c r="B84" s="100" t="s">
        <v>270</v>
      </c>
      <c r="C84" s="100">
        <v>2014</v>
      </c>
      <c r="D84" s="105" t="s">
        <v>271</v>
      </c>
      <c r="E84" s="116">
        <v>2016</v>
      </c>
      <c r="F84" s="100" t="s">
        <v>117</v>
      </c>
      <c r="G84" s="107">
        <f>N84/L84</f>
        <v>3334.8132936106208</v>
      </c>
      <c r="H84" s="94" t="s">
        <v>272</v>
      </c>
      <c r="I84" s="95" t="s">
        <v>18</v>
      </c>
      <c r="J84" s="109">
        <v>38</v>
      </c>
      <c r="K84" s="109">
        <v>1957</v>
      </c>
      <c r="L84" s="109">
        <v>345.73</v>
      </c>
      <c r="M84" s="110">
        <v>5.1242000000000001</v>
      </c>
      <c r="N84" s="111">
        <f>225000*M84</f>
        <v>1152945</v>
      </c>
      <c r="O84" s="99" t="s">
        <v>273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s="30" customFormat="1" ht="62.4" customHeight="1" x14ac:dyDescent="0.25">
      <c r="A85" s="106"/>
      <c r="B85" s="100" t="s">
        <v>90</v>
      </c>
      <c r="C85" s="100">
        <v>2003</v>
      </c>
      <c r="D85" s="104" t="s">
        <v>19</v>
      </c>
      <c r="E85" s="116" t="s">
        <v>174</v>
      </c>
      <c r="F85" s="100" t="s">
        <v>120</v>
      </c>
      <c r="G85" s="107">
        <v>3640</v>
      </c>
      <c r="H85" s="94" t="s">
        <v>625</v>
      </c>
      <c r="I85" s="114" t="s">
        <v>65</v>
      </c>
      <c r="J85" s="109">
        <v>39</v>
      </c>
      <c r="K85" s="109">
        <v>1958</v>
      </c>
      <c r="L85" s="109">
        <v>280.05</v>
      </c>
      <c r="M85" s="110"/>
      <c r="N85" s="111">
        <f>G85*L85</f>
        <v>1019382</v>
      </c>
      <c r="O85" s="99" t="s">
        <v>274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s="9" customFormat="1" ht="35.25" customHeight="1" x14ac:dyDescent="0.25">
      <c r="A86" s="106"/>
      <c r="B86" s="100" t="s">
        <v>85</v>
      </c>
      <c r="C86" s="100">
        <v>2009</v>
      </c>
      <c r="D86" s="104" t="s">
        <v>19</v>
      </c>
      <c r="E86" s="116" t="s">
        <v>174</v>
      </c>
      <c r="F86" s="100" t="s">
        <v>101</v>
      </c>
      <c r="G86" s="107">
        <f>N86/L86</f>
        <v>1297.2053431115767</v>
      </c>
      <c r="H86" s="94" t="s">
        <v>275</v>
      </c>
      <c r="I86" s="114" t="s">
        <v>65</v>
      </c>
      <c r="J86" s="109">
        <v>40</v>
      </c>
      <c r="K86" s="109">
        <v>1959</v>
      </c>
      <c r="L86" s="109">
        <v>343.62</v>
      </c>
      <c r="M86" s="110">
        <v>5.2134</v>
      </c>
      <c r="N86" s="111">
        <f>85500*M86</f>
        <v>445745.7</v>
      </c>
      <c r="O86" s="99" t="s">
        <v>274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s="30" customFormat="1" ht="46.2" customHeight="1" x14ac:dyDescent="0.25">
      <c r="A87" s="106"/>
      <c r="B87" s="100" t="s">
        <v>21</v>
      </c>
      <c r="C87" s="100">
        <v>2007</v>
      </c>
      <c r="D87" s="104" t="s">
        <v>19</v>
      </c>
      <c r="E87" s="116" t="s">
        <v>276</v>
      </c>
      <c r="F87" s="100" t="s">
        <v>277</v>
      </c>
      <c r="G87" s="107">
        <f>N87/L87</f>
        <v>319.78970374250628</v>
      </c>
      <c r="H87" s="94" t="s">
        <v>626</v>
      </c>
      <c r="I87" s="114" t="s">
        <v>65</v>
      </c>
      <c r="J87" s="109">
        <v>41</v>
      </c>
      <c r="K87" s="109">
        <v>1960</v>
      </c>
      <c r="L87" s="109">
        <v>343.62</v>
      </c>
      <c r="M87" s="110">
        <v>5.2868000000000004</v>
      </c>
      <c r="N87" s="111">
        <f>20785*M87</f>
        <v>109886.13800000001</v>
      </c>
      <c r="O87" s="99" t="s">
        <v>274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s="9" customFormat="1" ht="114.6" customHeight="1" x14ac:dyDescent="0.25">
      <c r="A88" s="106">
        <v>1432</v>
      </c>
      <c r="B88" s="100" t="s">
        <v>278</v>
      </c>
      <c r="C88" s="100">
        <v>2014</v>
      </c>
      <c r="D88" s="105" t="s">
        <v>279</v>
      </c>
      <c r="E88" s="116">
        <v>2016</v>
      </c>
      <c r="F88" s="92" t="s">
        <v>52</v>
      </c>
      <c r="G88" s="107">
        <v>8000</v>
      </c>
      <c r="H88" s="94" t="s">
        <v>74</v>
      </c>
      <c r="I88" s="95" t="s">
        <v>608</v>
      </c>
      <c r="J88" s="109">
        <v>42</v>
      </c>
      <c r="K88" s="109">
        <v>1961</v>
      </c>
      <c r="L88" s="109">
        <v>280.05</v>
      </c>
      <c r="M88" s="110"/>
      <c r="N88" s="111">
        <f>G88*L88</f>
        <v>2240400</v>
      </c>
      <c r="O88" s="99" t="s">
        <v>280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s="9" customFormat="1" ht="36" customHeight="1" x14ac:dyDescent="0.25">
      <c r="A89" s="106"/>
      <c r="B89" s="100" t="s">
        <v>64</v>
      </c>
      <c r="C89" s="100">
        <v>2010</v>
      </c>
      <c r="D89" s="104" t="s">
        <v>19</v>
      </c>
      <c r="E89" s="116" t="s">
        <v>174</v>
      </c>
      <c r="F89" s="100" t="s">
        <v>101</v>
      </c>
      <c r="G89" s="107">
        <f>N89/L89</f>
        <v>270.81765963131176</v>
      </c>
      <c r="H89" s="94" t="s">
        <v>281</v>
      </c>
      <c r="I89" s="114" t="s">
        <v>65</v>
      </c>
      <c r="J89" s="109">
        <v>43</v>
      </c>
      <c r="K89" s="109">
        <v>1962</v>
      </c>
      <c r="L89" s="109">
        <v>336.87</v>
      </c>
      <c r="M89" s="110">
        <v>5.2281000000000004</v>
      </c>
      <c r="N89" s="111">
        <f>17450*M89</f>
        <v>91230.345000000001</v>
      </c>
      <c r="O89" s="99" t="s">
        <v>282</v>
      </c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s="9" customFormat="1" ht="34.200000000000003" customHeight="1" x14ac:dyDescent="0.25">
      <c r="A90" s="106"/>
      <c r="B90" s="100" t="s">
        <v>118</v>
      </c>
      <c r="C90" s="100">
        <v>2013</v>
      </c>
      <c r="D90" s="104" t="s">
        <v>119</v>
      </c>
      <c r="E90" s="116" t="s">
        <v>174</v>
      </c>
      <c r="F90" s="100" t="s">
        <v>283</v>
      </c>
      <c r="G90" s="107">
        <f>N90/L90</f>
        <v>133.06245732775255</v>
      </c>
      <c r="H90" s="94" t="s">
        <v>284</v>
      </c>
      <c r="I90" s="114" t="s">
        <v>65</v>
      </c>
      <c r="J90" s="109">
        <v>44</v>
      </c>
      <c r="K90" s="109">
        <v>1963</v>
      </c>
      <c r="L90" s="109">
        <v>336.87</v>
      </c>
      <c r="M90" s="110">
        <v>5.2735000000000003</v>
      </c>
      <c r="N90" s="111">
        <f>8500*M90</f>
        <v>44824.75</v>
      </c>
      <c r="O90" s="99" t="s">
        <v>282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 s="9" customFormat="1" ht="46.95" customHeight="1" x14ac:dyDescent="0.25">
      <c r="A91" s="106">
        <v>1433</v>
      </c>
      <c r="B91" s="100" t="s">
        <v>285</v>
      </c>
      <c r="C91" s="100">
        <v>2013</v>
      </c>
      <c r="D91" s="105" t="s">
        <v>286</v>
      </c>
      <c r="E91" s="116">
        <v>2016</v>
      </c>
      <c r="F91" s="100" t="s">
        <v>287</v>
      </c>
      <c r="G91" s="107">
        <f>N91/L91</f>
        <v>369.21478689071625</v>
      </c>
      <c r="H91" s="94" t="s">
        <v>574</v>
      </c>
      <c r="I91" s="114" t="s">
        <v>65</v>
      </c>
      <c r="J91" s="109">
        <v>45</v>
      </c>
      <c r="K91" s="109">
        <v>1964</v>
      </c>
      <c r="L91" s="109">
        <v>335.64</v>
      </c>
      <c r="M91" s="110">
        <v>5.1874000000000002</v>
      </c>
      <c r="N91" s="111">
        <f>23889.28*M91</f>
        <v>123923.251072</v>
      </c>
      <c r="O91" s="99" t="s">
        <v>288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 s="9" customFormat="1" ht="34.200000000000003" customHeight="1" x14ac:dyDescent="0.25">
      <c r="A92" s="106"/>
      <c r="B92" s="100" t="s">
        <v>184</v>
      </c>
      <c r="C92" s="100">
        <v>2010</v>
      </c>
      <c r="D92" s="104" t="s">
        <v>56</v>
      </c>
      <c r="E92" s="100" t="s">
        <v>202</v>
      </c>
      <c r="F92" s="92" t="s">
        <v>52</v>
      </c>
      <c r="G92" s="107">
        <v>3000</v>
      </c>
      <c r="H92" s="94" t="s">
        <v>42</v>
      </c>
      <c r="I92" s="114" t="s">
        <v>65</v>
      </c>
      <c r="J92" s="109"/>
      <c r="K92" s="109"/>
      <c r="L92" s="109">
        <v>334.9</v>
      </c>
      <c r="M92" s="110"/>
      <c r="N92" s="111">
        <f t="shared" ref="N92:N98" si="2">G92*L92</f>
        <v>1004699.9999999999</v>
      </c>
      <c r="O92" s="99" t="s">
        <v>288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 s="9" customFormat="1" ht="61.5" customHeight="1" x14ac:dyDescent="0.25">
      <c r="A93" s="154"/>
      <c r="B93" s="157" t="s">
        <v>39</v>
      </c>
      <c r="C93" s="157">
        <v>2008</v>
      </c>
      <c r="D93" s="160" t="s">
        <v>289</v>
      </c>
      <c r="E93" s="162" t="s">
        <v>290</v>
      </c>
      <c r="F93" s="162" t="s">
        <v>93</v>
      </c>
      <c r="G93" s="107">
        <v>3000</v>
      </c>
      <c r="H93" s="94" t="s">
        <v>42</v>
      </c>
      <c r="I93" s="95" t="s">
        <v>18</v>
      </c>
      <c r="J93" s="135">
        <v>46</v>
      </c>
      <c r="K93" s="135">
        <v>1965</v>
      </c>
      <c r="L93" s="109">
        <v>334.9</v>
      </c>
      <c r="M93" s="110"/>
      <c r="N93" s="111">
        <f t="shared" si="2"/>
        <v>1004699.9999999999</v>
      </c>
      <c r="O93" s="99" t="s">
        <v>288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 s="9" customFormat="1" ht="36.6" customHeight="1" x14ac:dyDescent="0.25">
      <c r="A94" s="168"/>
      <c r="B94" s="169"/>
      <c r="C94" s="169"/>
      <c r="D94" s="159"/>
      <c r="E94" s="159"/>
      <c r="F94" s="159"/>
      <c r="G94" s="107">
        <v>9000</v>
      </c>
      <c r="H94" s="94" t="s">
        <v>25</v>
      </c>
      <c r="I94" s="114" t="s">
        <v>65</v>
      </c>
      <c r="J94" s="136"/>
      <c r="K94" s="136"/>
      <c r="L94" s="109">
        <v>334.7</v>
      </c>
      <c r="M94" s="110"/>
      <c r="N94" s="111">
        <f t="shared" si="2"/>
        <v>3012300</v>
      </c>
      <c r="O94" s="99" t="s">
        <v>291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 s="9" customFormat="1" ht="78" customHeight="1" x14ac:dyDescent="0.25">
      <c r="A95" s="106"/>
      <c r="B95" s="100" t="s">
        <v>53</v>
      </c>
      <c r="C95" s="100">
        <v>2010</v>
      </c>
      <c r="D95" s="104" t="s">
        <v>19</v>
      </c>
      <c r="E95" s="116" t="s">
        <v>174</v>
      </c>
      <c r="F95" s="100" t="s">
        <v>292</v>
      </c>
      <c r="G95" s="107">
        <v>179</v>
      </c>
      <c r="H95" s="94" t="s">
        <v>293</v>
      </c>
      <c r="I95" s="114" t="s">
        <v>65</v>
      </c>
      <c r="J95" s="109">
        <v>47</v>
      </c>
      <c r="K95" s="109">
        <v>1966</v>
      </c>
      <c r="L95" s="109">
        <v>344.73</v>
      </c>
      <c r="M95" s="110"/>
      <c r="N95" s="111">
        <f t="shared" si="2"/>
        <v>61706.670000000006</v>
      </c>
      <c r="O95" s="99" t="s">
        <v>291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 s="9" customFormat="1" ht="22.5" customHeight="1" x14ac:dyDescent="0.25">
      <c r="A96" s="154"/>
      <c r="B96" s="157" t="s">
        <v>91</v>
      </c>
      <c r="C96" s="157">
        <v>2009</v>
      </c>
      <c r="D96" s="160" t="s">
        <v>116</v>
      </c>
      <c r="E96" s="162" t="s">
        <v>175</v>
      </c>
      <c r="F96" s="157" t="s">
        <v>52</v>
      </c>
      <c r="G96" s="107">
        <v>9000</v>
      </c>
      <c r="H96" s="94" t="s">
        <v>58</v>
      </c>
      <c r="I96" s="164" t="s">
        <v>65</v>
      </c>
      <c r="J96" s="135">
        <v>48</v>
      </c>
      <c r="K96" s="135">
        <v>1967</v>
      </c>
      <c r="L96" s="109">
        <v>280.05</v>
      </c>
      <c r="M96" s="110"/>
      <c r="N96" s="111">
        <f t="shared" si="2"/>
        <v>2520450</v>
      </c>
      <c r="O96" s="99" t="s">
        <v>294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25" s="9" customFormat="1" ht="33.75" customHeight="1" x14ac:dyDescent="0.25">
      <c r="A97" s="168"/>
      <c r="B97" s="169"/>
      <c r="C97" s="169"/>
      <c r="D97" s="170"/>
      <c r="E97" s="159"/>
      <c r="F97" s="169"/>
      <c r="G97" s="107">
        <v>3800</v>
      </c>
      <c r="H97" s="94" t="s">
        <v>297</v>
      </c>
      <c r="I97" s="167"/>
      <c r="J97" s="136"/>
      <c r="K97" s="136"/>
      <c r="L97" s="109">
        <v>280.05</v>
      </c>
      <c r="M97" s="110"/>
      <c r="N97" s="111">
        <f t="shared" si="2"/>
        <v>1064190</v>
      </c>
      <c r="O97" s="99" t="s">
        <v>296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25" s="9" customFormat="1" ht="33" customHeight="1" x14ac:dyDescent="0.25">
      <c r="A98" s="106"/>
      <c r="B98" s="100" t="s">
        <v>184</v>
      </c>
      <c r="C98" s="100">
        <v>2010</v>
      </c>
      <c r="D98" s="104" t="s">
        <v>56</v>
      </c>
      <c r="E98" s="100" t="s">
        <v>202</v>
      </c>
      <c r="F98" s="92" t="s">
        <v>52</v>
      </c>
      <c r="G98" s="107">
        <v>5748</v>
      </c>
      <c r="H98" s="94" t="s">
        <v>295</v>
      </c>
      <c r="I98" s="114" t="s">
        <v>65</v>
      </c>
      <c r="J98" s="109"/>
      <c r="K98" s="109"/>
      <c r="L98" s="109">
        <v>280.05</v>
      </c>
      <c r="M98" s="110"/>
      <c r="N98" s="111">
        <f t="shared" si="2"/>
        <v>1609727.4000000001</v>
      </c>
      <c r="O98" s="99" t="s">
        <v>296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 s="9" customFormat="1" ht="114" customHeight="1" x14ac:dyDescent="0.25">
      <c r="A99" s="106"/>
      <c r="B99" s="100" t="s">
        <v>154</v>
      </c>
      <c r="C99" s="100">
        <v>2012</v>
      </c>
      <c r="D99" s="88" t="s">
        <v>17</v>
      </c>
      <c r="E99" s="116" t="s">
        <v>222</v>
      </c>
      <c r="F99" s="92" t="s">
        <v>78</v>
      </c>
      <c r="G99" s="107">
        <f>N99/L99</f>
        <v>1552.3162507766501</v>
      </c>
      <c r="H99" s="94" t="s">
        <v>298</v>
      </c>
      <c r="I99" s="95" t="s">
        <v>609</v>
      </c>
      <c r="J99" s="109">
        <v>49</v>
      </c>
      <c r="K99" s="109">
        <v>1968</v>
      </c>
      <c r="L99" s="109">
        <v>337.99</v>
      </c>
      <c r="M99" s="110">
        <v>5.3495999999999997</v>
      </c>
      <c r="N99" s="111">
        <f>98076*M99</f>
        <v>524667.36959999998</v>
      </c>
      <c r="O99" s="99" t="s">
        <v>299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25" s="9" customFormat="1" ht="37.5" customHeight="1" x14ac:dyDescent="0.25">
      <c r="A100" s="106"/>
      <c r="B100" s="100" t="s">
        <v>99</v>
      </c>
      <c r="C100" s="100">
        <v>2010</v>
      </c>
      <c r="D100" s="104" t="s">
        <v>19</v>
      </c>
      <c r="E100" s="116" t="s">
        <v>174</v>
      </c>
      <c r="F100" s="100" t="s">
        <v>101</v>
      </c>
      <c r="G100" s="107">
        <f>N100/L100</f>
        <v>539.24579711888373</v>
      </c>
      <c r="H100" s="94" t="s">
        <v>300</v>
      </c>
      <c r="I100" s="114" t="s">
        <v>65</v>
      </c>
      <c r="J100" s="109">
        <v>50</v>
      </c>
      <c r="K100" s="109">
        <v>1969</v>
      </c>
      <c r="L100" s="109">
        <v>332.51</v>
      </c>
      <c r="M100" s="110">
        <v>5.2582000000000004</v>
      </c>
      <c r="N100" s="111">
        <f>34100*M100</f>
        <v>179304.62000000002</v>
      </c>
      <c r="O100" s="99" t="s">
        <v>301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25" s="9" customFormat="1" ht="100.95" customHeight="1" x14ac:dyDescent="0.25">
      <c r="A101" s="106"/>
      <c r="B101" s="100" t="s">
        <v>39</v>
      </c>
      <c r="C101" s="100">
        <v>2008</v>
      </c>
      <c r="D101" s="104" t="s">
        <v>289</v>
      </c>
      <c r="E101" s="116" t="s">
        <v>202</v>
      </c>
      <c r="F101" s="102" t="s">
        <v>93</v>
      </c>
      <c r="G101" s="107">
        <v>10022.120000000001</v>
      </c>
      <c r="H101" s="94" t="s">
        <v>582</v>
      </c>
      <c r="I101" s="114" t="s">
        <v>628</v>
      </c>
      <c r="J101" s="109"/>
      <c r="K101" s="109"/>
      <c r="L101" s="109">
        <v>280.05</v>
      </c>
      <c r="M101" s="110"/>
      <c r="N101" s="111">
        <f>G101*L101</f>
        <v>2806694.7060000002</v>
      </c>
      <c r="O101" s="99" t="s">
        <v>302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 s="9" customFormat="1" ht="72" customHeight="1" x14ac:dyDescent="0.25">
      <c r="A102" s="106">
        <v>1434</v>
      </c>
      <c r="B102" s="100" t="s">
        <v>303</v>
      </c>
      <c r="C102" s="100">
        <v>2015</v>
      </c>
      <c r="D102" s="104" t="s">
        <v>304</v>
      </c>
      <c r="E102" s="116">
        <v>2016</v>
      </c>
      <c r="F102" s="102" t="s">
        <v>93</v>
      </c>
      <c r="G102" s="107">
        <v>9000</v>
      </c>
      <c r="H102" s="94" t="s">
        <v>25</v>
      </c>
      <c r="I102" s="114" t="s">
        <v>605</v>
      </c>
      <c r="J102" s="109">
        <v>51</v>
      </c>
      <c r="K102" s="109">
        <v>1970</v>
      </c>
      <c r="L102" s="109">
        <v>280.05</v>
      </c>
      <c r="M102" s="110"/>
      <c r="N102" s="111">
        <f>G102*L102</f>
        <v>2520450</v>
      </c>
      <c r="O102" s="99" t="s">
        <v>302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 s="9" customFormat="1" ht="46.95" customHeight="1" x14ac:dyDescent="0.25">
      <c r="A103" s="106">
        <v>1435</v>
      </c>
      <c r="B103" s="100" t="s">
        <v>305</v>
      </c>
      <c r="C103" s="100">
        <v>2015</v>
      </c>
      <c r="D103" s="88" t="s">
        <v>17</v>
      </c>
      <c r="E103" s="116">
        <v>2016</v>
      </c>
      <c r="F103" s="92" t="s">
        <v>78</v>
      </c>
      <c r="G103" s="107">
        <f>N103/L103</f>
        <v>1494.7976562359904</v>
      </c>
      <c r="H103" s="94" t="s">
        <v>306</v>
      </c>
      <c r="I103" s="114" t="s">
        <v>65</v>
      </c>
      <c r="J103" s="109">
        <v>52</v>
      </c>
      <c r="K103" s="109">
        <v>1971</v>
      </c>
      <c r="L103" s="109">
        <v>334.59</v>
      </c>
      <c r="M103" s="110">
        <v>5.2119</v>
      </c>
      <c r="N103" s="111">
        <f>95962*M103</f>
        <v>500144.34779999999</v>
      </c>
      <c r="O103" s="99" t="s">
        <v>302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s="9" customFormat="1" ht="60" customHeight="1" x14ac:dyDescent="0.25">
      <c r="A104" s="106"/>
      <c r="B104" s="100" t="s">
        <v>91</v>
      </c>
      <c r="C104" s="100">
        <v>2009</v>
      </c>
      <c r="D104" s="104" t="s">
        <v>116</v>
      </c>
      <c r="E104" s="116" t="s">
        <v>202</v>
      </c>
      <c r="F104" s="92" t="s">
        <v>52</v>
      </c>
      <c r="G104" s="107">
        <v>1200</v>
      </c>
      <c r="H104" s="94" t="s">
        <v>127</v>
      </c>
      <c r="I104" s="95" t="s">
        <v>18</v>
      </c>
      <c r="J104" s="109"/>
      <c r="K104" s="109"/>
      <c r="L104" s="109">
        <v>332.29</v>
      </c>
      <c r="M104" s="110"/>
      <c r="N104" s="111">
        <f>G104*L104</f>
        <v>398748</v>
      </c>
      <c r="O104" s="99" t="s">
        <v>307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5" s="9" customFormat="1" ht="75" customHeight="1" x14ac:dyDescent="0.25">
      <c r="A105" s="106"/>
      <c r="B105" s="100" t="s">
        <v>308</v>
      </c>
      <c r="C105" s="100">
        <v>2007</v>
      </c>
      <c r="D105" s="88" t="s">
        <v>19</v>
      </c>
      <c r="E105" s="116" t="s">
        <v>174</v>
      </c>
      <c r="F105" s="100" t="s">
        <v>292</v>
      </c>
      <c r="G105" s="107">
        <v>295</v>
      </c>
      <c r="H105" s="94" t="s">
        <v>309</v>
      </c>
      <c r="I105" s="114" t="s">
        <v>65</v>
      </c>
      <c r="J105" s="109">
        <v>53</v>
      </c>
      <c r="K105" s="109">
        <v>1972</v>
      </c>
      <c r="L105" s="109">
        <v>334.9</v>
      </c>
      <c r="M105" s="110"/>
      <c r="N105" s="111">
        <f>G105*L105</f>
        <v>98795.5</v>
      </c>
      <c r="O105" s="99" t="s">
        <v>307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 spans="1:25" s="9" customFormat="1" ht="60.6" customHeight="1" x14ac:dyDescent="0.25">
      <c r="A106" s="106"/>
      <c r="B106" s="100" t="s">
        <v>90</v>
      </c>
      <c r="C106" s="100">
        <v>2003</v>
      </c>
      <c r="D106" s="88" t="s">
        <v>19</v>
      </c>
      <c r="E106" s="116" t="s">
        <v>202</v>
      </c>
      <c r="F106" s="100" t="s">
        <v>120</v>
      </c>
      <c r="G106" s="107">
        <v>565</v>
      </c>
      <c r="H106" s="94" t="s">
        <v>310</v>
      </c>
      <c r="I106" s="114" t="s">
        <v>65</v>
      </c>
      <c r="J106" s="109"/>
      <c r="K106" s="109"/>
      <c r="L106" s="109">
        <v>341.12</v>
      </c>
      <c r="M106" s="110"/>
      <c r="N106" s="111">
        <f>G106*L106</f>
        <v>192732.79999999999</v>
      </c>
      <c r="O106" s="99" t="s">
        <v>311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25" s="9" customFormat="1" ht="114.6" customHeight="1" x14ac:dyDescent="0.25">
      <c r="A107" s="106"/>
      <c r="B107" s="100" t="s">
        <v>303</v>
      </c>
      <c r="C107" s="100">
        <v>2015</v>
      </c>
      <c r="D107" s="104" t="s">
        <v>304</v>
      </c>
      <c r="E107" s="116" t="s">
        <v>202</v>
      </c>
      <c r="F107" s="102" t="s">
        <v>93</v>
      </c>
      <c r="G107" s="107">
        <v>7800</v>
      </c>
      <c r="H107" s="94" t="s">
        <v>312</v>
      </c>
      <c r="I107" s="95" t="s">
        <v>610</v>
      </c>
      <c r="J107" s="109"/>
      <c r="K107" s="109"/>
      <c r="L107" s="109">
        <v>280.05</v>
      </c>
      <c r="M107" s="110"/>
      <c r="N107" s="111">
        <f>G107*L107</f>
        <v>2184390</v>
      </c>
      <c r="O107" s="99" t="s">
        <v>313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 s="77" customFormat="1" ht="60.6" customHeight="1" x14ac:dyDescent="0.25">
      <c r="A108" s="106"/>
      <c r="B108" s="100" t="s">
        <v>123</v>
      </c>
      <c r="C108" s="100">
        <v>2013</v>
      </c>
      <c r="D108" s="104" t="s">
        <v>124</v>
      </c>
      <c r="E108" s="116" t="s">
        <v>259</v>
      </c>
      <c r="F108" s="100" t="s">
        <v>117</v>
      </c>
      <c r="G108" s="107">
        <f t="shared" ref="G108:G117" si="3">N108/L108</f>
        <v>8458.9967417444896</v>
      </c>
      <c r="H108" s="94" t="s">
        <v>590</v>
      </c>
      <c r="I108" s="114" t="s">
        <v>65</v>
      </c>
      <c r="J108" s="109">
        <v>54</v>
      </c>
      <c r="K108" s="109">
        <v>1973</v>
      </c>
      <c r="L108" s="109">
        <v>327.66000000000003</v>
      </c>
      <c r="M108" s="110">
        <v>5.1925999999999997</v>
      </c>
      <c r="N108" s="111">
        <f>533774*M108</f>
        <v>2771674.8723999998</v>
      </c>
      <c r="O108" s="99" t="s">
        <v>313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s="9" customFormat="1" ht="46.95" customHeight="1" x14ac:dyDescent="0.25">
      <c r="A109" s="106"/>
      <c r="B109" s="100" t="s">
        <v>73</v>
      </c>
      <c r="C109" s="100">
        <v>2011</v>
      </c>
      <c r="D109" s="104" t="s">
        <v>128</v>
      </c>
      <c r="E109" s="116" t="s">
        <v>290</v>
      </c>
      <c r="F109" s="100" t="s">
        <v>112</v>
      </c>
      <c r="G109" s="107">
        <f t="shared" si="3"/>
        <v>3014.1992309100892</v>
      </c>
      <c r="H109" s="94" t="s">
        <v>314</v>
      </c>
      <c r="I109" s="95" t="s">
        <v>18</v>
      </c>
      <c r="J109" s="109">
        <v>55</v>
      </c>
      <c r="K109" s="109">
        <v>1974</v>
      </c>
      <c r="L109" s="109">
        <v>327.66000000000003</v>
      </c>
      <c r="M109" s="110">
        <v>5.1925999999999997</v>
      </c>
      <c r="N109" s="111">
        <f>190200*M109</f>
        <v>987632.5199999999</v>
      </c>
      <c r="O109" s="99" t="s">
        <v>313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 s="9" customFormat="1" ht="60" customHeight="1" x14ac:dyDescent="0.25">
      <c r="A110" s="106">
        <v>1436</v>
      </c>
      <c r="B110" s="100" t="s">
        <v>315</v>
      </c>
      <c r="C110" s="100">
        <v>2007</v>
      </c>
      <c r="D110" s="104" t="s">
        <v>316</v>
      </c>
      <c r="E110" s="116">
        <v>2016</v>
      </c>
      <c r="F110" s="100" t="s">
        <v>112</v>
      </c>
      <c r="G110" s="107">
        <f t="shared" si="3"/>
        <v>2995.1822010620758</v>
      </c>
      <c r="H110" s="94" t="s">
        <v>317</v>
      </c>
      <c r="I110" s="95" t="s">
        <v>18</v>
      </c>
      <c r="J110" s="109">
        <v>56</v>
      </c>
      <c r="K110" s="109">
        <v>1975</v>
      </c>
      <c r="L110" s="109">
        <v>327.66000000000003</v>
      </c>
      <c r="M110" s="110">
        <v>5.1925999999999997</v>
      </c>
      <c r="N110" s="111">
        <f>189000*M110</f>
        <v>981401.39999999991</v>
      </c>
      <c r="O110" s="99" t="s">
        <v>313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 s="9" customFormat="1" ht="25.2" customHeight="1" x14ac:dyDescent="0.25">
      <c r="A111" s="154"/>
      <c r="B111" s="157" t="s">
        <v>157</v>
      </c>
      <c r="C111" s="157">
        <v>2013</v>
      </c>
      <c r="D111" s="160" t="s">
        <v>19</v>
      </c>
      <c r="E111" s="162" t="s">
        <v>174</v>
      </c>
      <c r="F111" s="157" t="s">
        <v>101</v>
      </c>
      <c r="G111" s="93">
        <f t="shared" si="3"/>
        <v>190.00210519984361</v>
      </c>
      <c r="H111" s="94" t="s">
        <v>623</v>
      </c>
      <c r="I111" s="164" t="s">
        <v>318</v>
      </c>
      <c r="J111" s="135">
        <v>57</v>
      </c>
      <c r="K111" s="135">
        <v>1976</v>
      </c>
      <c r="L111" s="109">
        <v>332.51</v>
      </c>
      <c r="M111" s="110">
        <v>5.2648000000000001</v>
      </c>
      <c r="N111" s="111">
        <f>12000*M111</f>
        <v>63177.599999999999</v>
      </c>
      <c r="O111" s="99" t="s">
        <v>319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 spans="1:25" s="9" customFormat="1" ht="22.95" customHeight="1" x14ac:dyDescent="0.25">
      <c r="A112" s="168"/>
      <c r="B112" s="169"/>
      <c r="C112" s="169"/>
      <c r="D112" s="170"/>
      <c r="E112" s="159"/>
      <c r="F112" s="169"/>
      <c r="G112" s="93">
        <f t="shared" si="3"/>
        <v>105.03269074614298</v>
      </c>
      <c r="H112" s="94" t="s">
        <v>624</v>
      </c>
      <c r="I112" s="167"/>
      <c r="J112" s="136"/>
      <c r="K112" s="136"/>
      <c r="L112" s="109">
        <v>332.51</v>
      </c>
      <c r="M112" s="110">
        <v>5.2126000000000001</v>
      </c>
      <c r="N112" s="111">
        <f>6700*M112</f>
        <v>34924.42</v>
      </c>
      <c r="O112" s="99" t="s">
        <v>319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 s="9" customFormat="1" ht="37.200000000000003" customHeight="1" x14ac:dyDescent="0.25">
      <c r="A113" s="106"/>
      <c r="B113" s="100" t="s">
        <v>80</v>
      </c>
      <c r="C113" s="100">
        <v>2011</v>
      </c>
      <c r="D113" s="88" t="s">
        <v>19</v>
      </c>
      <c r="E113" s="116" t="s">
        <v>290</v>
      </c>
      <c r="F113" s="100" t="s">
        <v>102</v>
      </c>
      <c r="G113" s="93">
        <f t="shared" si="3"/>
        <v>231.61709422273015</v>
      </c>
      <c r="H113" s="94" t="s">
        <v>320</v>
      </c>
      <c r="I113" s="114" t="s">
        <v>318</v>
      </c>
      <c r="J113" s="109">
        <v>58</v>
      </c>
      <c r="K113" s="109">
        <v>1977</v>
      </c>
      <c r="L113" s="109">
        <v>332.51</v>
      </c>
      <c r="M113" s="110">
        <v>5.2750000000000004</v>
      </c>
      <c r="N113" s="111">
        <f>14600*M113</f>
        <v>77015</v>
      </c>
      <c r="O113" s="99" t="s">
        <v>319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 s="9" customFormat="1" ht="33.75" customHeight="1" x14ac:dyDescent="0.25">
      <c r="A114" s="106">
        <v>1437</v>
      </c>
      <c r="B114" s="100" t="s">
        <v>321</v>
      </c>
      <c r="C114" s="100">
        <v>2011</v>
      </c>
      <c r="D114" s="88" t="s">
        <v>19</v>
      </c>
      <c r="E114" s="116">
        <v>2016</v>
      </c>
      <c r="F114" s="100" t="s">
        <v>143</v>
      </c>
      <c r="G114" s="93">
        <f t="shared" si="3"/>
        <v>270.15870840904353</v>
      </c>
      <c r="H114" s="94" t="s">
        <v>322</v>
      </c>
      <c r="I114" s="114" t="s">
        <v>318</v>
      </c>
      <c r="J114" s="109">
        <v>59</v>
      </c>
      <c r="K114" s="109">
        <v>1978</v>
      </c>
      <c r="L114" s="109">
        <v>335.71</v>
      </c>
      <c r="M114" s="110">
        <v>5.3037999999999998</v>
      </c>
      <c r="N114" s="111">
        <f>17100*M114</f>
        <v>90694.98</v>
      </c>
      <c r="O114" s="99" t="s">
        <v>323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 s="9" customFormat="1" ht="49.2" customHeight="1" x14ac:dyDescent="0.25">
      <c r="A115" s="106"/>
      <c r="B115" s="100" t="s">
        <v>243</v>
      </c>
      <c r="C115" s="100">
        <v>2015</v>
      </c>
      <c r="D115" s="104" t="s">
        <v>244</v>
      </c>
      <c r="E115" s="116" t="s">
        <v>222</v>
      </c>
      <c r="F115" s="100" t="s">
        <v>112</v>
      </c>
      <c r="G115" s="93">
        <f t="shared" si="3"/>
        <v>4096.2271611416609</v>
      </c>
      <c r="H115" s="94" t="s">
        <v>561</v>
      </c>
      <c r="I115" s="95" t="s">
        <v>18</v>
      </c>
      <c r="J115" s="109">
        <v>60</v>
      </c>
      <c r="K115" s="109">
        <v>1979</v>
      </c>
      <c r="L115" s="109">
        <v>334.6</v>
      </c>
      <c r="M115" s="110">
        <v>5.1262999999999996</v>
      </c>
      <c r="N115" s="111">
        <f>267365.86*M115</f>
        <v>1370597.6081179997</v>
      </c>
      <c r="O115" s="99" t="s">
        <v>324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 s="9" customFormat="1" ht="45.75" customHeight="1" x14ac:dyDescent="0.25">
      <c r="A116" s="106"/>
      <c r="B116" s="100" t="s">
        <v>285</v>
      </c>
      <c r="C116" s="100">
        <v>2013</v>
      </c>
      <c r="D116" s="104" t="s">
        <v>286</v>
      </c>
      <c r="E116" s="116" t="s">
        <v>202</v>
      </c>
      <c r="F116" s="100" t="s">
        <v>287</v>
      </c>
      <c r="G116" s="93">
        <f t="shared" si="3"/>
        <v>6893.3652121936639</v>
      </c>
      <c r="H116" s="94" t="s">
        <v>325</v>
      </c>
      <c r="I116" s="95" t="s">
        <v>18</v>
      </c>
      <c r="J116" s="109"/>
      <c r="K116" s="109"/>
      <c r="L116" s="109">
        <v>334.6</v>
      </c>
      <c r="M116" s="110">
        <v>5.1256000000000004</v>
      </c>
      <c r="N116" s="111">
        <f>450000*M116</f>
        <v>2306520</v>
      </c>
      <c r="O116" s="99" t="s">
        <v>324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 s="9" customFormat="1" ht="48" customHeight="1" x14ac:dyDescent="0.25">
      <c r="A117" s="106"/>
      <c r="B117" s="100" t="s">
        <v>77</v>
      </c>
      <c r="C117" s="100">
        <v>2013</v>
      </c>
      <c r="D117" s="104" t="s">
        <v>139</v>
      </c>
      <c r="E117" s="116" t="s">
        <v>189</v>
      </c>
      <c r="F117" s="92" t="s">
        <v>78</v>
      </c>
      <c r="G117" s="93">
        <f t="shared" si="3"/>
        <v>887.12619485126891</v>
      </c>
      <c r="H117" s="94" t="s">
        <v>326</v>
      </c>
      <c r="I117" s="114" t="s">
        <v>65</v>
      </c>
      <c r="J117" s="109">
        <v>61</v>
      </c>
      <c r="K117" s="109">
        <v>1980</v>
      </c>
      <c r="L117" s="109">
        <v>329.79</v>
      </c>
      <c r="M117" s="110">
        <v>5.2782</v>
      </c>
      <c r="N117" s="111">
        <f>55429*M117</f>
        <v>292565.34779999999</v>
      </c>
      <c r="O117" s="99" t="s">
        <v>327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 s="9" customFormat="1" ht="60" customHeight="1" x14ac:dyDescent="0.25">
      <c r="A118" s="106"/>
      <c r="B118" s="100" t="s">
        <v>278</v>
      </c>
      <c r="C118" s="100">
        <v>2014</v>
      </c>
      <c r="D118" s="105" t="s">
        <v>279</v>
      </c>
      <c r="E118" s="116" t="s">
        <v>202</v>
      </c>
      <c r="F118" s="92" t="s">
        <v>52</v>
      </c>
      <c r="G118" s="93">
        <v>2000</v>
      </c>
      <c r="H118" s="94" t="s">
        <v>61</v>
      </c>
      <c r="I118" s="114" t="s">
        <v>65</v>
      </c>
      <c r="J118" s="109"/>
      <c r="K118" s="109"/>
      <c r="L118" s="109">
        <v>280.05</v>
      </c>
      <c r="M118" s="110"/>
      <c r="N118" s="111">
        <f>G118*L118</f>
        <v>560100</v>
      </c>
      <c r="O118" s="99" t="s">
        <v>328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 s="9" customFormat="1" ht="36" customHeight="1" x14ac:dyDescent="0.25">
      <c r="A119" s="106"/>
      <c r="B119" s="100" t="s">
        <v>184</v>
      </c>
      <c r="C119" s="100">
        <v>2010</v>
      </c>
      <c r="D119" s="104" t="s">
        <v>56</v>
      </c>
      <c r="E119" s="116" t="s">
        <v>202</v>
      </c>
      <c r="F119" s="92" t="s">
        <v>52</v>
      </c>
      <c r="G119" s="93">
        <v>3378.44</v>
      </c>
      <c r="H119" s="94" t="s">
        <v>329</v>
      </c>
      <c r="I119" s="114" t="s">
        <v>65</v>
      </c>
      <c r="J119" s="109"/>
      <c r="K119" s="109"/>
      <c r="L119" s="109">
        <v>329.59</v>
      </c>
      <c r="M119" s="110"/>
      <c r="N119" s="111">
        <f>G119*L119</f>
        <v>1113500.0396</v>
      </c>
      <c r="O119" s="99" t="s">
        <v>330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 s="9" customFormat="1" ht="46.2" customHeight="1" x14ac:dyDescent="0.25">
      <c r="A120" s="106"/>
      <c r="B120" s="100" t="s">
        <v>26</v>
      </c>
      <c r="C120" s="100">
        <v>2003</v>
      </c>
      <c r="D120" s="117" t="s">
        <v>107</v>
      </c>
      <c r="E120" s="116" t="s">
        <v>222</v>
      </c>
      <c r="F120" s="100" t="s">
        <v>112</v>
      </c>
      <c r="G120" s="93">
        <f>N120/L120</f>
        <v>685.2970598999633</v>
      </c>
      <c r="H120" s="94" t="s">
        <v>331</v>
      </c>
      <c r="I120" s="114" t="s">
        <v>65</v>
      </c>
      <c r="J120" s="109">
        <v>62</v>
      </c>
      <c r="K120" s="109">
        <v>1981</v>
      </c>
      <c r="L120" s="109">
        <v>327.88</v>
      </c>
      <c r="M120" s="110">
        <v>5.0199999999999996</v>
      </c>
      <c r="N120" s="111">
        <f>44760*M120</f>
        <v>224695.19999999998</v>
      </c>
      <c r="O120" s="99" t="s">
        <v>330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 s="9" customFormat="1" ht="74.400000000000006" customHeight="1" x14ac:dyDescent="0.25">
      <c r="A121" s="106"/>
      <c r="B121" s="100" t="s">
        <v>138</v>
      </c>
      <c r="C121" s="100">
        <v>2008</v>
      </c>
      <c r="D121" s="104" t="s">
        <v>19</v>
      </c>
      <c r="E121" s="116" t="s">
        <v>174</v>
      </c>
      <c r="F121" s="100" t="s">
        <v>292</v>
      </c>
      <c r="G121" s="93">
        <v>267</v>
      </c>
      <c r="H121" s="94" t="s">
        <v>332</v>
      </c>
      <c r="I121" s="114" t="s">
        <v>318</v>
      </c>
      <c r="J121" s="109">
        <v>63</v>
      </c>
      <c r="K121" s="109">
        <v>1982</v>
      </c>
      <c r="L121" s="109">
        <v>329.44</v>
      </c>
      <c r="M121" s="110"/>
      <c r="N121" s="111">
        <f>G121*L121</f>
        <v>87960.48</v>
      </c>
      <c r="O121" s="99" t="s">
        <v>333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 s="9" customFormat="1" ht="70.2" customHeight="1" x14ac:dyDescent="0.25">
      <c r="A122" s="106"/>
      <c r="B122" s="100" t="s">
        <v>43</v>
      </c>
      <c r="C122" s="100">
        <v>2005</v>
      </c>
      <c r="D122" s="104" t="s">
        <v>19</v>
      </c>
      <c r="E122" s="116" t="s">
        <v>290</v>
      </c>
      <c r="F122" s="100" t="s">
        <v>292</v>
      </c>
      <c r="G122" s="93">
        <v>214</v>
      </c>
      <c r="H122" s="94" t="s">
        <v>334</v>
      </c>
      <c r="I122" s="114" t="s">
        <v>318</v>
      </c>
      <c r="J122" s="109">
        <v>64</v>
      </c>
      <c r="K122" s="109">
        <v>1983</v>
      </c>
      <c r="L122" s="109">
        <v>334.4</v>
      </c>
      <c r="M122" s="110"/>
      <c r="N122" s="111">
        <f>G122*L122</f>
        <v>71561.599999999991</v>
      </c>
      <c r="O122" s="99" t="s">
        <v>333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 s="9" customFormat="1" ht="93.75" customHeight="1" x14ac:dyDescent="0.25">
      <c r="A123" s="154"/>
      <c r="B123" s="157" t="s">
        <v>27</v>
      </c>
      <c r="C123" s="174">
        <v>2008</v>
      </c>
      <c r="D123" s="157" t="s">
        <v>611</v>
      </c>
      <c r="E123" s="162" t="s">
        <v>175</v>
      </c>
      <c r="F123" s="157" t="s">
        <v>37</v>
      </c>
      <c r="G123" s="93">
        <f>N123/L123</f>
        <v>982.87992882616516</v>
      </c>
      <c r="H123" s="94" t="s">
        <v>594</v>
      </c>
      <c r="I123" s="147" t="s">
        <v>18</v>
      </c>
      <c r="J123" s="135">
        <v>65</v>
      </c>
      <c r="K123" s="135">
        <v>1984</v>
      </c>
      <c r="L123" s="109">
        <v>328.07</v>
      </c>
      <c r="M123" s="110">
        <v>5.1726000000000001</v>
      </c>
      <c r="N123" s="111">
        <f>62338.75*M123</f>
        <v>322453.41824999999</v>
      </c>
      <c r="O123" s="99" t="s">
        <v>333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 s="9" customFormat="1" ht="45.75" customHeight="1" x14ac:dyDescent="0.25">
      <c r="A124" s="168"/>
      <c r="B124" s="169"/>
      <c r="C124" s="175"/>
      <c r="D124" s="159"/>
      <c r="E124" s="159"/>
      <c r="F124" s="169"/>
      <c r="G124" s="93">
        <f>N124/L124</f>
        <v>248.18179103586255</v>
      </c>
      <c r="H124" s="94" t="s">
        <v>338</v>
      </c>
      <c r="I124" s="153"/>
      <c r="J124" s="136"/>
      <c r="K124" s="136"/>
      <c r="L124" s="109">
        <v>334.89</v>
      </c>
      <c r="M124" s="110">
        <v>5.1946000000000003</v>
      </c>
      <c r="N124" s="111">
        <f>16000*M124</f>
        <v>83113.600000000006</v>
      </c>
      <c r="O124" s="99" t="s">
        <v>337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 s="9" customFormat="1" ht="45.6" customHeight="1" x14ac:dyDescent="0.25">
      <c r="A125" s="106">
        <v>1438</v>
      </c>
      <c r="B125" s="100" t="s">
        <v>335</v>
      </c>
      <c r="C125" s="100">
        <v>2014</v>
      </c>
      <c r="D125" s="104" t="s">
        <v>336</v>
      </c>
      <c r="E125" s="116">
        <v>2016</v>
      </c>
      <c r="F125" s="92" t="s">
        <v>78</v>
      </c>
      <c r="G125" s="93">
        <f>N125/L125</f>
        <v>1470.1589178536235</v>
      </c>
      <c r="H125" s="94" t="s">
        <v>298</v>
      </c>
      <c r="I125" s="114" t="s">
        <v>65</v>
      </c>
      <c r="J125" s="109">
        <v>66</v>
      </c>
      <c r="K125" s="109">
        <v>1985</v>
      </c>
      <c r="L125" s="109">
        <v>334.89</v>
      </c>
      <c r="M125" s="110">
        <v>5.0199999999999996</v>
      </c>
      <c r="N125" s="111">
        <f>98076*M125</f>
        <v>492341.51999999996</v>
      </c>
      <c r="O125" s="99" t="s">
        <v>337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 s="9" customFormat="1" ht="27" customHeight="1" x14ac:dyDescent="0.25">
      <c r="A126" s="154"/>
      <c r="B126" s="157" t="s">
        <v>135</v>
      </c>
      <c r="C126" s="157">
        <v>2008</v>
      </c>
      <c r="D126" s="160" t="s">
        <v>19</v>
      </c>
      <c r="E126" s="162" t="s">
        <v>174</v>
      </c>
      <c r="F126" s="157" t="s">
        <v>121</v>
      </c>
      <c r="G126" s="93">
        <v>9000</v>
      </c>
      <c r="H126" s="94" t="s">
        <v>600</v>
      </c>
      <c r="I126" s="164" t="s">
        <v>65</v>
      </c>
      <c r="J126" s="135">
        <v>67</v>
      </c>
      <c r="K126" s="135">
        <v>1986</v>
      </c>
      <c r="L126" s="109">
        <v>280.05</v>
      </c>
      <c r="M126" s="110"/>
      <c r="N126" s="111">
        <f t="shared" ref="N126:N131" si="4">G126*L126</f>
        <v>2520450</v>
      </c>
      <c r="O126" s="99" t="s">
        <v>339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 s="9" customFormat="1" ht="22.95" customHeight="1" x14ac:dyDescent="0.25">
      <c r="A127" s="168"/>
      <c r="B127" s="169"/>
      <c r="C127" s="169"/>
      <c r="D127" s="170"/>
      <c r="E127" s="159"/>
      <c r="F127" s="169"/>
      <c r="G127" s="93">
        <v>2191</v>
      </c>
      <c r="H127" s="94" t="s">
        <v>342</v>
      </c>
      <c r="I127" s="167"/>
      <c r="J127" s="136"/>
      <c r="K127" s="136"/>
      <c r="L127" s="109">
        <v>337.71</v>
      </c>
      <c r="M127" s="110"/>
      <c r="N127" s="111">
        <f t="shared" si="4"/>
        <v>739922.61</v>
      </c>
      <c r="O127" s="99" t="s">
        <v>343</v>
      </c>
      <c r="P127" s="90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 s="9" customFormat="1" ht="22.2" customHeight="1" x14ac:dyDescent="0.25">
      <c r="A128" s="154">
        <v>1439</v>
      </c>
      <c r="B128" s="157" t="s">
        <v>340</v>
      </c>
      <c r="C128" s="157">
        <v>2016</v>
      </c>
      <c r="D128" s="160" t="s">
        <v>344</v>
      </c>
      <c r="E128" s="162">
        <v>2016</v>
      </c>
      <c r="F128" s="157" t="s">
        <v>52</v>
      </c>
      <c r="G128" s="93">
        <v>9000</v>
      </c>
      <c r="H128" s="94" t="s">
        <v>58</v>
      </c>
      <c r="I128" s="164" t="s">
        <v>606</v>
      </c>
      <c r="J128" s="135">
        <v>68</v>
      </c>
      <c r="K128" s="135">
        <v>1987</v>
      </c>
      <c r="L128" s="109">
        <v>280.05</v>
      </c>
      <c r="M128" s="110"/>
      <c r="N128" s="111">
        <f t="shared" si="4"/>
        <v>2520450</v>
      </c>
      <c r="O128" s="99" t="s">
        <v>341</v>
      </c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 s="9" customFormat="1" ht="22.95" customHeight="1" x14ac:dyDescent="0.25">
      <c r="A129" s="155"/>
      <c r="B129" s="158"/>
      <c r="C129" s="158"/>
      <c r="D129" s="161"/>
      <c r="E129" s="163"/>
      <c r="F129" s="158"/>
      <c r="G129" s="93">
        <v>9000</v>
      </c>
      <c r="H129" s="94" t="s">
        <v>58</v>
      </c>
      <c r="I129" s="165"/>
      <c r="J129" s="166"/>
      <c r="K129" s="166"/>
      <c r="L129" s="109">
        <v>338.11</v>
      </c>
      <c r="M129" s="110"/>
      <c r="N129" s="111">
        <f t="shared" si="4"/>
        <v>3042990</v>
      </c>
      <c r="O129" s="99" t="s">
        <v>343</v>
      </c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s="9" customFormat="1" ht="27.75" customHeight="1" x14ac:dyDescent="0.25">
      <c r="A130" s="156"/>
      <c r="B130" s="159"/>
      <c r="C130" s="159"/>
      <c r="D130" s="159"/>
      <c r="E130" s="159"/>
      <c r="F130" s="159"/>
      <c r="G130" s="93">
        <v>9000</v>
      </c>
      <c r="H130" s="94" t="s">
        <v>58</v>
      </c>
      <c r="I130" s="148"/>
      <c r="J130" s="149"/>
      <c r="K130" s="149"/>
      <c r="L130" s="109">
        <v>339.21</v>
      </c>
      <c r="M130" s="110"/>
      <c r="N130" s="111">
        <f t="shared" si="4"/>
        <v>3052890</v>
      </c>
      <c r="O130" s="99" t="s">
        <v>348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 s="9" customFormat="1" ht="61.2" customHeight="1" x14ac:dyDescent="0.25">
      <c r="A131" s="106">
        <v>1440</v>
      </c>
      <c r="B131" s="100" t="s">
        <v>345</v>
      </c>
      <c r="C131" s="100">
        <v>2009</v>
      </c>
      <c r="D131" s="104" t="s">
        <v>346</v>
      </c>
      <c r="E131" s="116">
        <v>2016</v>
      </c>
      <c r="F131" s="102" t="s">
        <v>93</v>
      </c>
      <c r="G131" s="93">
        <v>8000</v>
      </c>
      <c r="H131" s="94" t="s">
        <v>60</v>
      </c>
      <c r="I131" s="103" t="s">
        <v>18</v>
      </c>
      <c r="J131" s="109">
        <v>69</v>
      </c>
      <c r="K131" s="109">
        <v>1988</v>
      </c>
      <c r="L131" s="109">
        <v>338.11</v>
      </c>
      <c r="M131" s="110"/>
      <c r="N131" s="111">
        <f t="shared" si="4"/>
        <v>2704880</v>
      </c>
      <c r="O131" s="99" t="s">
        <v>343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 spans="1:25" s="9" customFormat="1" ht="63" customHeight="1" x14ac:dyDescent="0.25">
      <c r="A132" s="106"/>
      <c r="B132" s="100" t="s">
        <v>270</v>
      </c>
      <c r="C132" s="100">
        <v>2014</v>
      </c>
      <c r="D132" s="105" t="s">
        <v>271</v>
      </c>
      <c r="E132" s="116" t="s">
        <v>222</v>
      </c>
      <c r="F132" s="100" t="s">
        <v>117</v>
      </c>
      <c r="G132" s="93">
        <f>N132/L132</f>
        <v>4386.612672701287</v>
      </c>
      <c r="H132" s="94" t="s">
        <v>347</v>
      </c>
      <c r="I132" s="114" t="s">
        <v>65</v>
      </c>
      <c r="J132" s="109">
        <v>70</v>
      </c>
      <c r="K132" s="109">
        <v>1989</v>
      </c>
      <c r="L132" s="109">
        <v>335.84</v>
      </c>
      <c r="M132" s="110">
        <v>5.08</v>
      </c>
      <c r="N132" s="111">
        <f>290000*M132</f>
        <v>1473200</v>
      </c>
      <c r="O132" s="99" t="s">
        <v>343</v>
      </c>
      <c r="P132" s="90"/>
      <c r="Q132" s="29"/>
      <c r="R132" s="29"/>
      <c r="S132" s="29"/>
      <c r="T132" s="29"/>
      <c r="U132" s="29"/>
      <c r="V132" s="29"/>
      <c r="W132" s="29"/>
      <c r="X132" s="29"/>
      <c r="Y132" s="29"/>
    </row>
    <row r="133" spans="1:25" s="9" customFormat="1" ht="75" customHeight="1" x14ac:dyDescent="0.25">
      <c r="A133" s="106"/>
      <c r="B133" s="100" t="s">
        <v>303</v>
      </c>
      <c r="C133" s="100">
        <v>2015</v>
      </c>
      <c r="D133" s="104" t="s">
        <v>304</v>
      </c>
      <c r="E133" s="116" t="s">
        <v>222</v>
      </c>
      <c r="F133" s="102" t="s">
        <v>93</v>
      </c>
      <c r="G133" s="93">
        <v>9000</v>
      </c>
      <c r="H133" s="94" t="s">
        <v>58</v>
      </c>
      <c r="I133" s="114" t="s">
        <v>65</v>
      </c>
      <c r="J133" s="109">
        <v>71</v>
      </c>
      <c r="K133" s="109">
        <v>1990</v>
      </c>
      <c r="L133" s="109">
        <v>339.21</v>
      </c>
      <c r="M133" s="110"/>
      <c r="N133" s="111">
        <f>G133*L133</f>
        <v>3052890</v>
      </c>
      <c r="O133" s="99" t="s">
        <v>348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 spans="1:25" s="9" customFormat="1" ht="35.4" customHeight="1" x14ac:dyDescent="0.25">
      <c r="A134" s="106"/>
      <c r="B134" s="100" t="s">
        <v>106</v>
      </c>
      <c r="C134" s="100">
        <v>2001</v>
      </c>
      <c r="D134" s="104" t="s">
        <v>19</v>
      </c>
      <c r="E134" s="116" t="s">
        <v>174</v>
      </c>
      <c r="F134" s="92" t="s">
        <v>122</v>
      </c>
      <c r="G134" s="93">
        <f>N134/L134</f>
        <v>3571.3590215519798</v>
      </c>
      <c r="H134" s="94" t="s">
        <v>105</v>
      </c>
      <c r="I134" s="114" t="s">
        <v>599</v>
      </c>
      <c r="J134" s="109">
        <v>72</v>
      </c>
      <c r="K134" s="109">
        <v>1991</v>
      </c>
      <c r="L134" s="109">
        <v>336.86</v>
      </c>
      <c r="M134" s="110">
        <v>52.08</v>
      </c>
      <c r="N134" s="111">
        <f>23100*M134</f>
        <v>1203048</v>
      </c>
      <c r="O134" s="99" t="s">
        <v>348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 s="9" customFormat="1" ht="33.6" customHeight="1" x14ac:dyDescent="0.25">
      <c r="A135" s="106"/>
      <c r="B135" s="100" t="s">
        <v>104</v>
      </c>
      <c r="C135" s="100">
        <v>2010</v>
      </c>
      <c r="D135" s="104" t="s">
        <v>19</v>
      </c>
      <c r="E135" s="116" t="s">
        <v>174</v>
      </c>
      <c r="F135" s="92" t="s">
        <v>122</v>
      </c>
      <c r="G135" s="93">
        <f>N135/L135</f>
        <v>3572.0447663717864</v>
      </c>
      <c r="H135" s="94" t="s">
        <v>105</v>
      </c>
      <c r="I135" s="114" t="s">
        <v>599</v>
      </c>
      <c r="J135" s="109">
        <v>73</v>
      </c>
      <c r="K135" s="109">
        <v>1992</v>
      </c>
      <c r="L135" s="109">
        <v>336.86</v>
      </c>
      <c r="M135" s="110">
        <v>52.09</v>
      </c>
      <c r="N135" s="111">
        <f>23100*M135</f>
        <v>1203279</v>
      </c>
      <c r="O135" s="99" t="s">
        <v>348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 s="9" customFormat="1" ht="114.6" customHeight="1" x14ac:dyDescent="0.25">
      <c r="A136" s="106">
        <v>1441</v>
      </c>
      <c r="B136" s="100" t="s">
        <v>352</v>
      </c>
      <c r="C136" s="100">
        <v>2011</v>
      </c>
      <c r="D136" s="104" t="s">
        <v>349</v>
      </c>
      <c r="E136" s="116">
        <v>2016</v>
      </c>
      <c r="F136" s="100" t="s">
        <v>112</v>
      </c>
      <c r="G136" s="93">
        <f>N136/L136</f>
        <v>1794.2045770790776</v>
      </c>
      <c r="H136" s="94" t="s">
        <v>562</v>
      </c>
      <c r="I136" s="114" t="s">
        <v>65</v>
      </c>
      <c r="J136" s="109">
        <v>74</v>
      </c>
      <c r="K136" s="109">
        <v>1993</v>
      </c>
      <c r="L136" s="109">
        <v>337.77</v>
      </c>
      <c r="M136" s="110">
        <v>5.1886000000000001</v>
      </c>
      <c r="N136" s="111">
        <f>116800*M136</f>
        <v>606028.48</v>
      </c>
      <c r="O136" s="99" t="s">
        <v>350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 s="9" customFormat="1" ht="70.95" customHeight="1" x14ac:dyDescent="0.25">
      <c r="A137" s="106">
        <v>1442</v>
      </c>
      <c r="B137" s="100" t="s">
        <v>351</v>
      </c>
      <c r="C137" s="100">
        <v>2012</v>
      </c>
      <c r="D137" s="105" t="s">
        <v>353</v>
      </c>
      <c r="E137" s="116">
        <v>2016</v>
      </c>
      <c r="F137" s="100" t="s">
        <v>112</v>
      </c>
      <c r="G137" s="93">
        <f>N137/L137</f>
        <v>1793.9279391301775</v>
      </c>
      <c r="H137" s="94" t="s">
        <v>562</v>
      </c>
      <c r="I137" s="114" t="s">
        <v>65</v>
      </c>
      <c r="J137" s="109">
        <v>75</v>
      </c>
      <c r="K137" s="109">
        <v>1994</v>
      </c>
      <c r="L137" s="109">
        <v>337.77</v>
      </c>
      <c r="M137" s="110">
        <v>5.1878000000000002</v>
      </c>
      <c r="N137" s="111">
        <f>116800*M137</f>
        <v>605935.04</v>
      </c>
      <c r="O137" s="99" t="s">
        <v>350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 s="9" customFormat="1" ht="33" customHeight="1" x14ac:dyDescent="0.25">
      <c r="A138" s="106"/>
      <c r="B138" s="100" t="s">
        <v>340</v>
      </c>
      <c r="C138" s="100">
        <v>2016</v>
      </c>
      <c r="D138" s="104" t="s">
        <v>344</v>
      </c>
      <c r="E138" s="116" t="s">
        <v>202</v>
      </c>
      <c r="F138" s="92" t="s">
        <v>52</v>
      </c>
      <c r="G138" s="93">
        <v>3000</v>
      </c>
      <c r="H138" s="94" t="s">
        <v>62</v>
      </c>
      <c r="I138" s="114" t="s">
        <v>65</v>
      </c>
      <c r="J138" s="109"/>
      <c r="K138" s="109"/>
      <c r="L138" s="109">
        <v>336.31</v>
      </c>
      <c r="M138" s="110"/>
      <c r="N138" s="111">
        <f t="shared" ref="N138:N143" si="5">G138*L138</f>
        <v>1008930</v>
      </c>
      <c r="O138" s="99" t="s">
        <v>350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 s="9" customFormat="1" ht="73.95" customHeight="1" x14ac:dyDescent="0.25">
      <c r="A139" s="106"/>
      <c r="B139" s="100" t="s">
        <v>303</v>
      </c>
      <c r="C139" s="100">
        <v>2015</v>
      </c>
      <c r="D139" s="104" t="s">
        <v>304</v>
      </c>
      <c r="E139" s="116" t="s">
        <v>202</v>
      </c>
      <c r="F139" s="102" t="s">
        <v>93</v>
      </c>
      <c r="G139" s="93">
        <v>6750</v>
      </c>
      <c r="H139" s="94" t="s">
        <v>354</v>
      </c>
      <c r="I139" s="114" t="s">
        <v>65</v>
      </c>
      <c r="J139" s="109"/>
      <c r="K139" s="109"/>
      <c r="L139" s="109">
        <v>336.31</v>
      </c>
      <c r="M139" s="110"/>
      <c r="N139" s="111">
        <f t="shared" si="5"/>
        <v>2270092.5</v>
      </c>
      <c r="O139" s="99" t="s">
        <v>350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 s="9" customFormat="1" ht="31.2" customHeight="1" x14ac:dyDescent="0.25">
      <c r="A140" s="154"/>
      <c r="B140" s="157" t="s">
        <v>114</v>
      </c>
      <c r="C140" s="157">
        <v>2012</v>
      </c>
      <c r="D140" s="162" t="s">
        <v>115</v>
      </c>
      <c r="E140" s="162" t="s">
        <v>189</v>
      </c>
      <c r="F140" s="157" t="s">
        <v>52</v>
      </c>
      <c r="G140" s="93">
        <v>9000</v>
      </c>
      <c r="H140" s="94" t="s">
        <v>58</v>
      </c>
      <c r="I140" s="164" t="s">
        <v>65</v>
      </c>
      <c r="J140" s="135">
        <v>76</v>
      </c>
      <c r="K140" s="135">
        <v>1995</v>
      </c>
      <c r="L140" s="109">
        <v>335.7</v>
      </c>
      <c r="M140" s="110"/>
      <c r="N140" s="111">
        <f t="shared" si="5"/>
        <v>3021300</v>
      </c>
      <c r="O140" s="99" t="s">
        <v>350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 s="9" customFormat="1" ht="27.6" customHeight="1" x14ac:dyDescent="0.25">
      <c r="A141" s="168"/>
      <c r="B141" s="169"/>
      <c r="C141" s="169"/>
      <c r="D141" s="159"/>
      <c r="E141" s="159"/>
      <c r="F141" s="169"/>
      <c r="G141" s="93">
        <v>7970</v>
      </c>
      <c r="H141" s="94" t="s">
        <v>363</v>
      </c>
      <c r="I141" s="167"/>
      <c r="J141" s="136"/>
      <c r="K141" s="136"/>
      <c r="L141" s="109">
        <v>335.2</v>
      </c>
      <c r="M141" s="110"/>
      <c r="N141" s="111">
        <f t="shared" si="5"/>
        <v>2671544</v>
      </c>
      <c r="O141" s="99" t="s">
        <v>357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 s="9" customFormat="1" ht="23.4" customHeight="1" x14ac:dyDescent="0.25">
      <c r="A142" s="154"/>
      <c r="B142" s="157" t="s">
        <v>125</v>
      </c>
      <c r="C142" s="157">
        <v>2010</v>
      </c>
      <c r="D142" s="157" t="s">
        <v>126</v>
      </c>
      <c r="E142" s="162" t="s">
        <v>175</v>
      </c>
      <c r="F142" s="157" t="s">
        <v>52</v>
      </c>
      <c r="G142" s="93">
        <v>9000</v>
      </c>
      <c r="H142" s="94" t="s">
        <v>58</v>
      </c>
      <c r="I142" s="164" t="s">
        <v>65</v>
      </c>
      <c r="J142" s="135">
        <v>77</v>
      </c>
      <c r="K142" s="135">
        <v>1996</v>
      </c>
      <c r="L142" s="109">
        <v>335.7</v>
      </c>
      <c r="M142" s="110"/>
      <c r="N142" s="111">
        <f t="shared" si="5"/>
        <v>3021300</v>
      </c>
      <c r="O142" s="99" t="s">
        <v>350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 s="9" customFormat="1" ht="27.6" customHeight="1" x14ac:dyDescent="0.25">
      <c r="A143" s="168"/>
      <c r="B143" s="169"/>
      <c r="C143" s="169"/>
      <c r="D143" s="169"/>
      <c r="E143" s="159"/>
      <c r="F143" s="169"/>
      <c r="G143" s="93">
        <v>7300</v>
      </c>
      <c r="H143" s="94" t="s">
        <v>364</v>
      </c>
      <c r="I143" s="167"/>
      <c r="J143" s="136"/>
      <c r="K143" s="136"/>
      <c r="L143" s="109">
        <v>335.2</v>
      </c>
      <c r="M143" s="110"/>
      <c r="N143" s="111">
        <f t="shared" si="5"/>
        <v>2446960</v>
      </c>
      <c r="O143" s="99" t="s">
        <v>357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 s="9" customFormat="1" ht="35.4" customHeight="1" x14ac:dyDescent="0.25">
      <c r="A144" s="106"/>
      <c r="B144" s="100" t="s">
        <v>355</v>
      </c>
      <c r="C144" s="100">
        <v>2009</v>
      </c>
      <c r="D144" s="104" t="s">
        <v>19</v>
      </c>
      <c r="E144" s="116" t="s">
        <v>174</v>
      </c>
      <c r="F144" s="92" t="s">
        <v>122</v>
      </c>
      <c r="G144" s="93">
        <f>N144/L144</f>
        <v>1721.6418979409129</v>
      </c>
      <c r="H144" s="94" t="s">
        <v>356</v>
      </c>
      <c r="I144" s="114" t="s">
        <v>318</v>
      </c>
      <c r="J144" s="109">
        <v>78</v>
      </c>
      <c r="K144" s="109">
        <v>1997</v>
      </c>
      <c r="L144" s="109">
        <v>335.1</v>
      </c>
      <c r="M144" s="110">
        <v>52.05</v>
      </c>
      <c r="N144" s="111">
        <f>11084*M144</f>
        <v>576922.19999999995</v>
      </c>
      <c r="O144" s="99" t="s">
        <v>357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 s="9" customFormat="1" ht="47.4" customHeight="1" x14ac:dyDescent="0.25">
      <c r="A145" s="106"/>
      <c r="B145" s="100" t="s">
        <v>305</v>
      </c>
      <c r="C145" s="100">
        <v>2015</v>
      </c>
      <c r="D145" s="88" t="s">
        <v>17</v>
      </c>
      <c r="E145" s="116" t="s">
        <v>222</v>
      </c>
      <c r="F145" s="92" t="s">
        <v>78</v>
      </c>
      <c r="G145" s="93">
        <f>N145/L145</f>
        <v>1555.5910205908683</v>
      </c>
      <c r="H145" s="94" t="s">
        <v>358</v>
      </c>
      <c r="I145" s="114" t="s">
        <v>65</v>
      </c>
      <c r="J145" s="109">
        <v>79</v>
      </c>
      <c r="K145" s="109">
        <v>1998</v>
      </c>
      <c r="L145" s="109">
        <v>335.1</v>
      </c>
      <c r="M145" s="110">
        <v>5.2028999999999996</v>
      </c>
      <c r="N145" s="111">
        <f>100190*M145</f>
        <v>521278.55099999998</v>
      </c>
      <c r="O145" s="99" t="s">
        <v>357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 s="9" customFormat="1" ht="46.95" customHeight="1" x14ac:dyDescent="0.25">
      <c r="A146" s="106">
        <v>1443</v>
      </c>
      <c r="B146" s="100" t="s">
        <v>359</v>
      </c>
      <c r="C146" s="100">
        <v>2015</v>
      </c>
      <c r="D146" s="104" t="s">
        <v>139</v>
      </c>
      <c r="E146" s="116">
        <v>2016</v>
      </c>
      <c r="F146" s="92" t="s">
        <v>78</v>
      </c>
      <c r="G146" s="93">
        <f>N146/L146</f>
        <v>1559.8902136675617</v>
      </c>
      <c r="H146" s="94" t="s">
        <v>360</v>
      </c>
      <c r="I146" s="114" t="s">
        <v>65</v>
      </c>
      <c r="J146" s="109">
        <v>80</v>
      </c>
      <c r="K146" s="109">
        <v>1999</v>
      </c>
      <c r="L146" s="109">
        <v>335.1</v>
      </c>
      <c r="M146" s="110">
        <v>5.2694000000000001</v>
      </c>
      <c r="N146" s="111">
        <f>99199*M146</f>
        <v>522719.21059999999</v>
      </c>
      <c r="O146" s="99" t="s">
        <v>357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 s="9" customFormat="1" ht="45" customHeight="1" x14ac:dyDescent="0.25">
      <c r="A147" s="106">
        <v>1444</v>
      </c>
      <c r="B147" s="100" t="s">
        <v>361</v>
      </c>
      <c r="C147" s="100">
        <v>2013</v>
      </c>
      <c r="D147" s="105" t="s">
        <v>139</v>
      </c>
      <c r="E147" s="116">
        <v>2016</v>
      </c>
      <c r="F147" s="92" t="s">
        <v>78</v>
      </c>
      <c r="G147" s="93">
        <f>N147/L147</f>
        <v>1625.521971351835</v>
      </c>
      <c r="H147" s="94" t="s">
        <v>362</v>
      </c>
      <c r="I147" s="114" t="s">
        <v>65</v>
      </c>
      <c r="J147" s="109">
        <v>81</v>
      </c>
      <c r="K147" s="109">
        <v>2000</v>
      </c>
      <c r="L147" s="109">
        <v>335.1</v>
      </c>
      <c r="M147" s="110">
        <v>5.2028999999999996</v>
      </c>
      <c r="N147" s="111">
        <f>104694*M147</f>
        <v>544712.41259999992</v>
      </c>
      <c r="O147" s="99" t="s">
        <v>357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 s="9" customFormat="1" ht="26.4" customHeight="1" x14ac:dyDescent="0.25">
      <c r="A148" s="154"/>
      <c r="B148" s="157" t="s">
        <v>152</v>
      </c>
      <c r="C148" s="157">
        <v>2014</v>
      </c>
      <c r="D148" s="160" t="s">
        <v>153</v>
      </c>
      <c r="E148" s="162" t="s">
        <v>222</v>
      </c>
      <c r="F148" s="157" t="s">
        <v>113</v>
      </c>
      <c r="G148" s="93">
        <v>9000</v>
      </c>
      <c r="H148" s="94" t="s">
        <v>58</v>
      </c>
      <c r="I148" s="164" t="s">
        <v>65</v>
      </c>
      <c r="J148" s="135">
        <v>82</v>
      </c>
      <c r="K148" s="135">
        <v>2001</v>
      </c>
      <c r="L148" s="109">
        <v>332.69</v>
      </c>
      <c r="M148" s="110"/>
      <c r="N148" s="111">
        <f>G148*L148</f>
        <v>2994210</v>
      </c>
      <c r="O148" s="99" t="s">
        <v>357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 s="9" customFormat="1" ht="31.2" customHeight="1" x14ac:dyDescent="0.25">
      <c r="A149" s="168"/>
      <c r="B149" s="169"/>
      <c r="C149" s="169"/>
      <c r="D149" s="170"/>
      <c r="E149" s="159"/>
      <c r="F149" s="169"/>
      <c r="G149" s="93">
        <v>2000</v>
      </c>
      <c r="H149" s="94" t="s">
        <v>61</v>
      </c>
      <c r="I149" s="167"/>
      <c r="J149" s="136"/>
      <c r="K149" s="136"/>
      <c r="L149" s="109">
        <v>332.9</v>
      </c>
      <c r="M149" s="110"/>
      <c r="N149" s="111">
        <f>G149*L149</f>
        <v>665800</v>
      </c>
      <c r="O149" s="99" t="s">
        <v>365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 s="77" customFormat="1" ht="22.2" customHeight="1" x14ac:dyDescent="0.25">
      <c r="A150" s="154">
        <v>1445</v>
      </c>
      <c r="B150" s="157" t="s">
        <v>372</v>
      </c>
      <c r="C150" s="157">
        <v>2013</v>
      </c>
      <c r="D150" s="184" t="s">
        <v>371</v>
      </c>
      <c r="E150" s="162">
        <v>2016</v>
      </c>
      <c r="F150" s="157" t="s">
        <v>113</v>
      </c>
      <c r="G150" s="93">
        <v>9000</v>
      </c>
      <c r="H150" s="94" t="s">
        <v>58</v>
      </c>
      <c r="I150" s="164" t="s">
        <v>65</v>
      </c>
      <c r="J150" s="135">
        <v>83</v>
      </c>
      <c r="K150" s="135">
        <v>2002</v>
      </c>
      <c r="L150" s="109">
        <v>335.2</v>
      </c>
      <c r="M150" s="110"/>
      <c r="N150" s="111">
        <f>G150*L150</f>
        <v>3016800</v>
      </c>
      <c r="O150" s="99" t="s">
        <v>365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 s="77" customFormat="1" ht="25.95" customHeight="1" x14ac:dyDescent="0.25">
      <c r="A151" s="168"/>
      <c r="B151" s="169"/>
      <c r="C151" s="169"/>
      <c r="D151" s="185"/>
      <c r="E151" s="159"/>
      <c r="F151" s="159"/>
      <c r="G151" s="93">
        <v>7510</v>
      </c>
      <c r="H151" s="94" t="s">
        <v>584</v>
      </c>
      <c r="I151" s="167"/>
      <c r="J151" s="136"/>
      <c r="K151" s="136"/>
      <c r="L151" s="109">
        <v>331.49</v>
      </c>
      <c r="M151" s="110"/>
      <c r="N151" s="111">
        <f>G151*L151</f>
        <v>2489489.9</v>
      </c>
      <c r="O151" s="99" t="s">
        <v>370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 s="9" customFormat="1" ht="153.6" customHeight="1" x14ac:dyDescent="0.25">
      <c r="A152" s="106">
        <v>1446</v>
      </c>
      <c r="B152" s="100" t="s">
        <v>366</v>
      </c>
      <c r="C152" s="100">
        <v>2013</v>
      </c>
      <c r="D152" s="105" t="s">
        <v>612</v>
      </c>
      <c r="E152" s="116">
        <v>2016</v>
      </c>
      <c r="F152" s="100" t="s">
        <v>130</v>
      </c>
      <c r="G152" s="93">
        <f>N152/L152</f>
        <v>5546.7975847609914</v>
      </c>
      <c r="H152" s="94" t="s">
        <v>367</v>
      </c>
      <c r="I152" s="114" t="s">
        <v>65</v>
      </c>
      <c r="J152" s="109">
        <v>84</v>
      </c>
      <c r="K152" s="109">
        <v>2003</v>
      </c>
      <c r="L152" s="109">
        <v>333.88</v>
      </c>
      <c r="M152" s="110">
        <v>275.12</v>
      </c>
      <c r="N152" s="111">
        <f>6731.48*M152</f>
        <v>1851964.7775999999</v>
      </c>
      <c r="O152" s="99" t="s">
        <v>365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5" s="9" customFormat="1" ht="34.200000000000003" customHeight="1" x14ac:dyDescent="0.25">
      <c r="A153" s="106"/>
      <c r="B153" s="100" t="s">
        <v>368</v>
      </c>
      <c r="C153" s="100">
        <v>2009</v>
      </c>
      <c r="D153" s="104" t="s">
        <v>19</v>
      </c>
      <c r="E153" s="116" t="s">
        <v>174</v>
      </c>
      <c r="F153" s="100" t="s">
        <v>143</v>
      </c>
      <c r="G153" s="93">
        <f>N153/L153</f>
        <v>1063.5581885707438</v>
      </c>
      <c r="H153" s="94" t="s">
        <v>369</v>
      </c>
      <c r="I153" s="114" t="s">
        <v>65</v>
      </c>
      <c r="J153" s="109">
        <v>85</v>
      </c>
      <c r="K153" s="109">
        <v>2004</v>
      </c>
      <c r="L153" s="109">
        <v>333.88</v>
      </c>
      <c r="M153" s="110">
        <v>5.2619999999999996</v>
      </c>
      <c r="N153" s="111">
        <f>67484*M153</f>
        <v>355100.80799999996</v>
      </c>
      <c r="O153" s="99" t="s">
        <v>365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 s="9" customFormat="1" ht="25.95" customHeight="1" x14ac:dyDescent="0.25">
      <c r="A154" s="154"/>
      <c r="B154" s="157" t="s">
        <v>109</v>
      </c>
      <c r="C154" s="157">
        <v>2001</v>
      </c>
      <c r="D154" s="162" t="s">
        <v>110</v>
      </c>
      <c r="E154" s="162" t="s">
        <v>222</v>
      </c>
      <c r="F154" s="157" t="s">
        <v>113</v>
      </c>
      <c r="G154" s="93">
        <v>9000</v>
      </c>
      <c r="H154" s="94" t="s">
        <v>58</v>
      </c>
      <c r="I154" s="164" t="s">
        <v>65</v>
      </c>
      <c r="J154" s="135">
        <v>86</v>
      </c>
      <c r="K154" s="135">
        <v>2005</v>
      </c>
      <c r="L154" s="109">
        <v>340.22</v>
      </c>
      <c r="M154" s="110"/>
      <c r="N154" s="111">
        <f t="shared" ref="N154:N161" si="6">G154*L154</f>
        <v>3061980.0000000005</v>
      </c>
      <c r="O154" s="99" t="s">
        <v>373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 s="9" customFormat="1" ht="30.6" customHeight="1" x14ac:dyDescent="0.25">
      <c r="A155" s="155"/>
      <c r="B155" s="158"/>
      <c r="C155" s="158"/>
      <c r="D155" s="163"/>
      <c r="E155" s="163"/>
      <c r="F155" s="163"/>
      <c r="G155" s="93">
        <v>9000</v>
      </c>
      <c r="H155" s="94" t="s">
        <v>58</v>
      </c>
      <c r="I155" s="165"/>
      <c r="J155" s="166"/>
      <c r="K155" s="166"/>
      <c r="L155" s="109">
        <v>340.22</v>
      </c>
      <c r="M155" s="110"/>
      <c r="N155" s="111">
        <f t="shared" si="6"/>
        <v>3061980.0000000005</v>
      </c>
      <c r="O155" s="99" t="s">
        <v>377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 s="9" customFormat="1" ht="30.75" customHeight="1" x14ac:dyDescent="0.25">
      <c r="A156" s="168"/>
      <c r="B156" s="169"/>
      <c r="C156" s="169"/>
      <c r="D156" s="159"/>
      <c r="E156" s="159"/>
      <c r="F156" s="159"/>
      <c r="G156" s="93">
        <v>2000</v>
      </c>
      <c r="H156" s="94" t="s">
        <v>61</v>
      </c>
      <c r="I156" s="167"/>
      <c r="J156" s="136"/>
      <c r="K156" s="136"/>
      <c r="L156" s="109">
        <v>340.42</v>
      </c>
      <c r="M156" s="110"/>
      <c r="N156" s="111">
        <f t="shared" si="6"/>
        <v>680840</v>
      </c>
      <c r="O156" s="99" t="s">
        <v>385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 spans="1:25" s="77" customFormat="1" ht="20.399999999999999" customHeight="1" x14ac:dyDescent="0.25">
      <c r="A157" s="154">
        <v>1447</v>
      </c>
      <c r="B157" s="157" t="s">
        <v>374</v>
      </c>
      <c r="C157" s="157">
        <v>2010</v>
      </c>
      <c r="D157" s="160" t="s">
        <v>31</v>
      </c>
      <c r="E157" s="162">
        <v>2016</v>
      </c>
      <c r="F157" s="162" t="s">
        <v>375</v>
      </c>
      <c r="G157" s="93">
        <v>9000</v>
      </c>
      <c r="H157" s="94" t="s">
        <v>58</v>
      </c>
      <c r="I157" s="164" t="s">
        <v>65</v>
      </c>
      <c r="J157" s="135">
        <v>87</v>
      </c>
      <c r="K157" s="135">
        <v>2006</v>
      </c>
      <c r="L157" s="109">
        <v>340.32</v>
      </c>
      <c r="M157" s="110"/>
      <c r="N157" s="111">
        <f t="shared" si="6"/>
        <v>3062880</v>
      </c>
      <c r="O157" s="99" t="s">
        <v>373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 s="77" customFormat="1" ht="22.2" customHeight="1" x14ac:dyDescent="0.25">
      <c r="A158" s="155"/>
      <c r="B158" s="158"/>
      <c r="C158" s="158"/>
      <c r="D158" s="161"/>
      <c r="E158" s="163"/>
      <c r="F158" s="163"/>
      <c r="G158" s="93">
        <v>9000</v>
      </c>
      <c r="H158" s="94" t="s">
        <v>58</v>
      </c>
      <c r="I158" s="165"/>
      <c r="J158" s="166"/>
      <c r="K158" s="166"/>
      <c r="L158" s="109">
        <v>340.52</v>
      </c>
      <c r="M158" s="110"/>
      <c r="N158" s="111">
        <f t="shared" si="6"/>
        <v>3064680</v>
      </c>
      <c r="O158" s="99" t="s">
        <v>377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 spans="1:25" s="77" customFormat="1" ht="23.4" customHeight="1" x14ac:dyDescent="0.25">
      <c r="A159" s="155"/>
      <c r="B159" s="158"/>
      <c r="C159" s="158"/>
      <c r="D159" s="161"/>
      <c r="E159" s="163"/>
      <c r="F159" s="163"/>
      <c r="G159" s="93">
        <v>9000</v>
      </c>
      <c r="H159" s="94" t="s">
        <v>58</v>
      </c>
      <c r="I159" s="165"/>
      <c r="J159" s="166"/>
      <c r="K159" s="166"/>
      <c r="L159" s="109">
        <v>340.22</v>
      </c>
      <c r="M159" s="110"/>
      <c r="N159" s="111">
        <f t="shared" si="6"/>
        <v>3061980.0000000005</v>
      </c>
      <c r="O159" s="99" t="s">
        <v>385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 s="77" customFormat="1" ht="22.2" customHeight="1" x14ac:dyDescent="0.25">
      <c r="A160" s="156"/>
      <c r="B160" s="159"/>
      <c r="C160" s="159"/>
      <c r="D160" s="159"/>
      <c r="E160" s="159"/>
      <c r="F160" s="159"/>
      <c r="G160" s="93">
        <v>3000</v>
      </c>
      <c r="H160" s="94" t="s">
        <v>62</v>
      </c>
      <c r="I160" s="148"/>
      <c r="J160" s="149"/>
      <c r="K160" s="149"/>
      <c r="L160" s="109">
        <v>340.22</v>
      </c>
      <c r="M160" s="110"/>
      <c r="N160" s="111">
        <f t="shared" si="6"/>
        <v>1020660.0000000001</v>
      </c>
      <c r="O160" s="99" t="s">
        <v>385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25" s="9" customFormat="1" ht="61.95" customHeight="1" x14ac:dyDescent="0.25">
      <c r="A161" s="106"/>
      <c r="B161" s="100" t="s">
        <v>345</v>
      </c>
      <c r="C161" s="100">
        <v>2009</v>
      </c>
      <c r="D161" s="104" t="s">
        <v>346</v>
      </c>
      <c r="E161" s="116" t="s">
        <v>202</v>
      </c>
      <c r="F161" s="102" t="s">
        <v>93</v>
      </c>
      <c r="G161" s="93">
        <v>7750</v>
      </c>
      <c r="H161" s="94" t="s">
        <v>376</v>
      </c>
      <c r="I161" s="114" t="s">
        <v>65</v>
      </c>
      <c r="J161" s="109"/>
      <c r="K161" s="109"/>
      <c r="L161" s="109">
        <v>340.32</v>
      </c>
      <c r="M161" s="110"/>
      <c r="N161" s="111">
        <f t="shared" si="6"/>
        <v>2637480</v>
      </c>
      <c r="O161" s="99" t="s">
        <v>377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25" s="9" customFormat="1" ht="60" customHeight="1" x14ac:dyDescent="0.25">
      <c r="A162" s="106"/>
      <c r="B162" s="100" t="s">
        <v>14</v>
      </c>
      <c r="C162" s="100">
        <v>2012</v>
      </c>
      <c r="D162" s="105" t="s">
        <v>378</v>
      </c>
      <c r="E162" s="116" t="s">
        <v>189</v>
      </c>
      <c r="F162" s="100" t="s">
        <v>112</v>
      </c>
      <c r="G162" s="93">
        <f>N162/L162</f>
        <v>915.52347390150396</v>
      </c>
      <c r="H162" s="94" t="s">
        <v>379</v>
      </c>
      <c r="I162" s="114" t="s">
        <v>65</v>
      </c>
      <c r="J162" s="109">
        <v>88</v>
      </c>
      <c r="K162" s="109">
        <v>2007</v>
      </c>
      <c r="L162" s="109">
        <v>339.1</v>
      </c>
      <c r="M162" s="110">
        <v>5.3619000000000003</v>
      </c>
      <c r="N162" s="111">
        <f>57900*M162</f>
        <v>310454.01</v>
      </c>
      <c r="O162" s="99" t="s">
        <v>377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 spans="1:25" s="9" customFormat="1" ht="90.6" customHeight="1" x14ac:dyDescent="0.25">
      <c r="A163" s="106"/>
      <c r="B163" s="100" t="s">
        <v>141</v>
      </c>
      <c r="C163" s="100">
        <v>2010</v>
      </c>
      <c r="D163" s="104" t="s">
        <v>142</v>
      </c>
      <c r="E163" s="116" t="s">
        <v>222</v>
      </c>
      <c r="F163" s="100" t="s">
        <v>143</v>
      </c>
      <c r="G163" s="93">
        <f>N163/L163</f>
        <v>6262.2235328811557</v>
      </c>
      <c r="H163" s="94" t="s">
        <v>144</v>
      </c>
      <c r="I163" s="103" t="s">
        <v>18</v>
      </c>
      <c r="J163" s="109">
        <v>89</v>
      </c>
      <c r="K163" s="109">
        <v>2008</v>
      </c>
      <c r="L163" s="109">
        <v>339.1</v>
      </c>
      <c r="M163" s="110">
        <v>5.3087999999999997</v>
      </c>
      <c r="N163" s="111">
        <f>400000*M163</f>
        <v>2123520</v>
      </c>
      <c r="O163" s="99" t="s">
        <v>377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 s="9" customFormat="1" ht="33" customHeight="1" x14ac:dyDescent="0.25">
      <c r="A164" s="106">
        <v>1448</v>
      </c>
      <c r="B164" s="100" t="s">
        <v>380</v>
      </c>
      <c r="C164" s="100">
        <v>2014</v>
      </c>
      <c r="D164" s="105" t="s">
        <v>382</v>
      </c>
      <c r="E164" s="116">
        <v>2016</v>
      </c>
      <c r="F164" s="116" t="s">
        <v>375</v>
      </c>
      <c r="G164" s="93">
        <v>1659</v>
      </c>
      <c r="H164" s="94" t="s">
        <v>578</v>
      </c>
      <c r="I164" s="114" t="s">
        <v>65</v>
      </c>
      <c r="J164" s="109">
        <v>90</v>
      </c>
      <c r="K164" s="109">
        <v>2009</v>
      </c>
      <c r="L164" s="109">
        <v>340.82</v>
      </c>
      <c r="M164" s="110"/>
      <c r="N164" s="111">
        <f>G164*L164</f>
        <v>565420.38</v>
      </c>
      <c r="O164" s="99" t="s">
        <v>377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s="9" customFormat="1" ht="26.4" customHeight="1" x14ac:dyDescent="0.25">
      <c r="A165" s="154">
        <v>1449</v>
      </c>
      <c r="B165" s="157" t="s">
        <v>381</v>
      </c>
      <c r="C165" s="157">
        <v>2016</v>
      </c>
      <c r="D165" s="160" t="s">
        <v>400</v>
      </c>
      <c r="E165" s="162">
        <v>2016</v>
      </c>
      <c r="F165" s="162" t="s">
        <v>375</v>
      </c>
      <c r="G165" s="93">
        <v>9000</v>
      </c>
      <c r="H165" s="94" t="s">
        <v>25</v>
      </c>
      <c r="I165" s="164" t="s">
        <v>65</v>
      </c>
      <c r="J165" s="135">
        <v>91</v>
      </c>
      <c r="K165" s="135">
        <v>2010</v>
      </c>
      <c r="L165" s="109">
        <v>340.42</v>
      </c>
      <c r="M165" s="110"/>
      <c r="N165" s="111">
        <f>G165*L165</f>
        <v>3063780</v>
      </c>
      <c r="O165" s="99" t="s">
        <v>377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 s="9" customFormat="1" ht="20.399999999999999" customHeight="1" x14ac:dyDescent="0.25">
      <c r="A166" s="168"/>
      <c r="B166" s="169"/>
      <c r="C166" s="169"/>
      <c r="D166" s="170"/>
      <c r="E166" s="159"/>
      <c r="F166" s="159"/>
      <c r="G166" s="93">
        <v>6150</v>
      </c>
      <c r="H166" s="94" t="s">
        <v>386</v>
      </c>
      <c r="I166" s="167"/>
      <c r="J166" s="136"/>
      <c r="K166" s="136"/>
      <c r="L166" s="109">
        <v>340.42</v>
      </c>
      <c r="M166" s="110"/>
      <c r="N166" s="111">
        <f>G166*L166</f>
        <v>2093583</v>
      </c>
      <c r="O166" s="99" t="s">
        <v>385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s="9" customFormat="1" ht="33.6" customHeight="1" x14ac:dyDescent="0.25">
      <c r="A167" s="106"/>
      <c r="B167" s="100" t="s">
        <v>22</v>
      </c>
      <c r="C167" s="100">
        <v>2009</v>
      </c>
      <c r="D167" s="104" t="s">
        <v>19</v>
      </c>
      <c r="E167" s="116" t="s">
        <v>383</v>
      </c>
      <c r="F167" s="100" t="s">
        <v>81</v>
      </c>
      <c r="G167" s="93">
        <f>N167/L167</f>
        <v>840.24609577730598</v>
      </c>
      <c r="H167" s="94" t="s">
        <v>384</v>
      </c>
      <c r="I167" s="114" t="s">
        <v>318</v>
      </c>
      <c r="J167" s="109">
        <v>92</v>
      </c>
      <c r="K167" s="109">
        <v>2011</v>
      </c>
      <c r="L167" s="109">
        <v>339.12</v>
      </c>
      <c r="M167" s="110">
        <v>5.3823999999999996</v>
      </c>
      <c r="N167" s="111">
        <f>52940*M167</f>
        <v>284944.25599999999</v>
      </c>
      <c r="O167" s="99" t="s">
        <v>385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s="9" customFormat="1" ht="34.950000000000003" customHeight="1" x14ac:dyDescent="0.25">
      <c r="A168" s="106"/>
      <c r="B168" s="100" t="s">
        <v>147</v>
      </c>
      <c r="C168" s="100">
        <v>2010</v>
      </c>
      <c r="D168" s="104" t="s">
        <v>19</v>
      </c>
      <c r="E168" s="116" t="s">
        <v>174</v>
      </c>
      <c r="F168" s="100" t="s">
        <v>277</v>
      </c>
      <c r="G168" s="93">
        <f>N168/L168</f>
        <v>310.44847634795957</v>
      </c>
      <c r="H168" s="94" t="s">
        <v>387</v>
      </c>
      <c r="I168" s="114" t="s">
        <v>318</v>
      </c>
      <c r="J168" s="109">
        <v>93</v>
      </c>
      <c r="K168" s="109">
        <v>2012</v>
      </c>
      <c r="L168" s="109">
        <v>338.66</v>
      </c>
      <c r="M168" s="110">
        <v>5.3769999999999998</v>
      </c>
      <c r="N168" s="111">
        <f>19553*M168</f>
        <v>105136.481</v>
      </c>
      <c r="O168" s="99" t="s">
        <v>388</v>
      </c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s="9" customFormat="1" ht="34.200000000000003" customHeight="1" x14ac:dyDescent="0.25">
      <c r="A169" s="106"/>
      <c r="B169" s="100" t="s">
        <v>155</v>
      </c>
      <c r="C169" s="100">
        <v>2010</v>
      </c>
      <c r="D169" s="104" t="s">
        <v>19</v>
      </c>
      <c r="E169" s="116" t="s">
        <v>174</v>
      </c>
      <c r="F169" s="100" t="s">
        <v>101</v>
      </c>
      <c r="G169" s="93">
        <f>N169/L169</f>
        <v>383.62945213584192</v>
      </c>
      <c r="H169" s="94" t="s">
        <v>389</v>
      </c>
      <c r="I169" s="114" t="s">
        <v>318</v>
      </c>
      <c r="J169" s="109">
        <v>94</v>
      </c>
      <c r="K169" s="109">
        <v>2013</v>
      </c>
      <c r="L169" s="109">
        <v>338.04</v>
      </c>
      <c r="M169" s="110">
        <v>5.3810000000000002</v>
      </c>
      <c r="N169" s="111">
        <f>24100*M169</f>
        <v>129682.1</v>
      </c>
      <c r="O169" s="99" t="s">
        <v>390</v>
      </c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 s="9" customFormat="1" ht="33.6" customHeight="1" x14ac:dyDescent="0.25">
      <c r="A170" s="106"/>
      <c r="B170" s="100" t="s">
        <v>134</v>
      </c>
      <c r="C170" s="100">
        <v>2013</v>
      </c>
      <c r="D170" s="104" t="s">
        <v>19</v>
      </c>
      <c r="E170" s="116" t="s">
        <v>174</v>
      </c>
      <c r="F170" s="100" t="s">
        <v>101</v>
      </c>
      <c r="G170" s="93">
        <f>N170/L170</f>
        <v>149.64252751153711</v>
      </c>
      <c r="H170" s="94" t="s">
        <v>391</v>
      </c>
      <c r="I170" s="114" t="s">
        <v>318</v>
      </c>
      <c r="J170" s="109">
        <v>95</v>
      </c>
      <c r="K170" s="109">
        <v>2014</v>
      </c>
      <c r="L170" s="109">
        <v>338.04</v>
      </c>
      <c r="M170" s="110">
        <v>5.3814000000000002</v>
      </c>
      <c r="N170" s="111">
        <f>9400*M170</f>
        <v>50585.16</v>
      </c>
      <c r="O170" s="99" t="s">
        <v>390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 s="9" customFormat="1" ht="36" customHeight="1" x14ac:dyDescent="0.25">
      <c r="A171" s="106">
        <v>1450</v>
      </c>
      <c r="B171" s="100" t="s">
        <v>392</v>
      </c>
      <c r="C171" s="100">
        <v>2002</v>
      </c>
      <c r="D171" s="104" t="s">
        <v>393</v>
      </c>
      <c r="E171" s="116">
        <v>2016</v>
      </c>
      <c r="F171" s="116" t="s">
        <v>375</v>
      </c>
      <c r="G171" s="93">
        <v>953.5</v>
      </c>
      <c r="H171" s="94" t="s">
        <v>579</v>
      </c>
      <c r="I171" s="114" t="s">
        <v>65</v>
      </c>
      <c r="J171" s="109">
        <v>96</v>
      </c>
      <c r="K171" s="109">
        <v>2015</v>
      </c>
      <c r="L171" s="109">
        <v>338.56</v>
      </c>
      <c r="M171" s="110"/>
      <c r="N171" s="111">
        <f>G171*L171</f>
        <v>322816.96000000002</v>
      </c>
      <c r="O171" s="99" t="s">
        <v>390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25" s="9" customFormat="1" ht="58.2" customHeight="1" x14ac:dyDescent="0.25">
      <c r="A172" s="106">
        <v>1451</v>
      </c>
      <c r="B172" s="100" t="s">
        <v>394</v>
      </c>
      <c r="C172" s="100">
        <v>2012</v>
      </c>
      <c r="D172" s="104" t="s">
        <v>132</v>
      </c>
      <c r="E172" s="116">
        <v>2016</v>
      </c>
      <c r="F172" s="92" t="s">
        <v>122</v>
      </c>
      <c r="G172" s="93">
        <f>N172/L172</f>
        <v>1900.8093716719914</v>
      </c>
      <c r="H172" s="94" t="s">
        <v>395</v>
      </c>
      <c r="I172" s="114" t="s">
        <v>65</v>
      </c>
      <c r="J172" s="109">
        <v>97</v>
      </c>
      <c r="K172" s="109">
        <v>2016</v>
      </c>
      <c r="L172" s="109">
        <v>338.04</v>
      </c>
      <c r="M172" s="110">
        <v>51.24</v>
      </c>
      <c r="N172" s="111">
        <f>12540*M172</f>
        <v>642549.6</v>
      </c>
      <c r="O172" s="99" t="s">
        <v>390</v>
      </c>
      <c r="P172" s="28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25" s="9" customFormat="1" ht="49.95" customHeight="1" x14ac:dyDescent="0.25">
      <c r="A173" s="106">
        <v>1452</v>
      </c>
      <c r="B173" s="100" t="s">
        <v>396</v>
      </c>
      <c r="C173" s="100">
        <v>2009</v>
      </c>
      <c r="D173" s="105" t="s">
        <v>397</v>
      </c>
      <c r="E173" s="116">
        <v>2016</v>
      </c>
      <c r="F173" s="100" t="s">
        <v>398</v>
      </c>
      <c r="G173" s="93">
        <f>N173/L173</f>
        <v>129.80183911793475</v>
      </c>
      <c r="H173" s="94" t="s">
        <v>566</v>
      </c>
      <c r="I173" s="114" t="s">
        <v>65</v>
      </c>
      <c r="J173" s="109">
        <v>98</v>
      </c>
      <c r="K173" s="109">
        <v>2017</v>
      </c>
      <c r="L173" s="109">
        <v>337.39</v>
      </c>
      <c r="M173" s="110">
        <v>5.3505000000000003</v>
      </c>
      <c r="N173" s="111">
        <f>8185*M173</f>
        <v>43793.842499999999</v>
      </c>
      <c r="O173" s="99" t="s">
        <v>399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25" s="9" customFormat="1" ht="73.2" customHeight="1" x14ac:dyDescent="0.25">
      <c r="A174" s="106"/>
      <c r="B174" s="100" t="s">
        <v>109</v>
      </c>
      <c r="C174" s="100">
        <v>2001</v>
      </c>
      <c r="D174" s="118" t="s">
        <v>110</v>
      </c>
      <c r="E174" s="116" t="s">
        <v>202</v>
      </c>
      <c r="F174" s="92" t="s">
        <v>113</v>
      </c>
      <c r="G174" s="93">
        <v>2010</v>
      </c>
      <c r="H174" s="94" t="s">
        <v>401</v>
      </c>
      <c r="I174" s="114" t="s">
        <v>65</v>
      </c>
      <c r="J174" s="109"/>
      <c r="K174" s="109"/>
      <c r="L174" s="109">
        <v>339.69</v>
      </c>
      <c r="M174" s="110"/>
      <c r="N174" s="111">
        <f>G174*L174</f>
        <v>682776.9</v>
      </c>
      <c r="O174" s="99" t="s">
        <v>402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25" s="9" customFormat="1" ht="45.6" customHeight="1" x14ac:dyDescent="0.25">
      <c r="A175" s="106"/>
      <c r="B175" s="100" t="s">
        <v>135</v>
      </c>
      <c r="C175" s="100">
        <v>2008</v>
      </c>
      <c r="D175" s="102" t="s">
        <v>19</v>
      </c>
      <c r="E175" s="116" t="s">
        <v>202</v>
      </c>
      <c r="F175" s="92" t="s">
        <v>121</v>
      </c>
      <c r="G175" s="93">
        <v>364.45</v>
      </c>
      <c r="H175" s="94" t="s">
        <v>403</v>
      </c>
      <c r="I175" s="114" t="s">
        <v>65</v>
      </c>
      <c r="J175" s="109"/>
      <c r="K175" s="109"/>
      <c r="L175" s="109">
        <v>340.42</v>
      </c>
      <c r="M175" s="110"/>
      <c r="N175" s="111">
        <f>G175*L175</f>
        <v>124066.069</v>
      </c>
      <c r="O175" s="99" t="s">
        <v>404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25" s="9" customFormat="1" ht="113.4" customHeight="1" x14ac:dyDescent="0.25">
      <c r="A176" s="106"/>
      <c r="B176" s="100" t="s">
        <v>270</v>
      </c>
      <c r="C176" s="100">
        <v>2014</v>
      </c>
      <c r="D176" s="104" t="s">
        <v>271</v>
      </c>
      <c r="E176" s="116" t="s">
        <v>202</v>
      </c>
      <c r="F176" s="100" t="s">
        <v>117</v>
      </c>
      <c r="G176" s="93">
        <f t="shared" ref="G176:G182" si="7">N176/L176</f>
        <v>1273.631321635354</v>
      </c>
      <c r="H176" s="94" t="s">
        <v>405</v>
      </c>
      <c r="I176" s="95" t="s">
        <v>613</v>
      </c>
      <c r="J176" s="109"/>
      <c r="K176" s="109"/>
      <c r="L176" s="109">
        <v>338.52</v>
      </c>
      <c r="M176" s="110">
        <v>5.5099</v>
      </c>
      <c r="N176" s="111">
        <f>78250*M176</f>
        <v>431149.67499999999</v>
      </c>
      <c r="O176" s="99" t="s">
        <v>406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 s="9" customFormat="1" ht="35.4" customHeight="1" x14ac:dyDescent="0.25">
      <c r="A177" s="106"/>
      <c r="B177" s="100" t="s">
        <v>64</v>
      </c>
      <c r="C177" s="100">
        <v>2010</v>
      </c>
      <c r="D177" s="104" t="s">
        <v>19</v>
      </c>
      <c r="E177" s="116" t="s">
        <v>290</v>
      </c>
      <c r="F177" s="100" t="s">
        <v>101</v>
      </c>
      <c r="G177" s="93">
        <f t="shared" si="7"/>
        <v>512.06102090222009</v>
      </c>
      <c r="H177" s="94" t="s">
        <v>407</v>
      </c>
      <c r="I177" s="114" t="s">
        <v>318</v>
      </c>
      <c r="J177" s="109">
        <v>99</v>
      </c>
      <c r="K177" s="109">
        <v>2018</v>
      </c>
      <c r="L177" s="109">
        <v>338.72</v>
      </c>
      <c r="M177" s="110">
        <v>5.5467000000000004</v>
      </c>
      <c r="N177" s="111">
        <f>31270*M177</f>
        <v>173445.30900000001</v>
      </c>
      <c r="O177" s="99" t="s">
        <v>408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 s="9" customFormat="1" ht="46.2" customHeight="1" x14ac:dyDescent="0.25">
      <c r="A178" s="106"/>
      <c r="B178" s="100" t="s">
        <v>396</v>
      </c>
      <c r="C178" s="100">
        <v>2009</v>
      </c>
      <c r="D178" s="104" t="s">
        <v>397</v>
      </c>
      <c r="E178" s="116" t="s">
        <v>202</v>
      </c>
      <c r="F178" s="100" t="s">
        <v>398</v>
      </c>
      <c r="G178" s="93">
        <f t="shared" si="7"/>
        <v>5128.4589950389791</v>
      </c>
      <c r="H178" s="94" t="s">
        <v>409</v>
      </c>
      <c r="I178" s="103" t="s">
        <v>18</v>
      </c>
      <c r="J178" s="109"/>
      <c r="K178" s="109"/>
      <c r="L178" s="109">
        <v>352.75</v>
      </c>
      <c r="M178" s="110">
        <v>5.4284999999999997</v>
      </c>
      <c r="N178" s="111">
        <f>333253*M178</f>
        <v>1809063.9105</v>
      </c>
      <c r="O178" s="99" t="s">
        <v>410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s="30" customFormat="1" ht="73.95" customHeight="1" x14ac:dyDescent="0.25">
      <c r="A179" s="106"/>
      <c r="B179" s="100" t="s">
        <v>149</v>
      </c>
      <c r="C179" s="100">
        <v>2015</v>
      </c>
      <c r="D179" s="104" t="s">
        <v>150</v>
      </c>
      <c r="E179" s="116" t="s">
        <v>175</v>
      </c>
      <c r="F179" s="100" t="s">
        <v>151</v>
      </c>
      <c r="G179" s="93">
        <f t="shared" si="7"/>
        <v>286.62560711161603</v>
      </c>
      <c r="H179" s="94" t="s">
        <v>593</v>
      </c>
      <c r="I179" s="103" t="s">
        <v>65</v>
      </c>
      <c r="J179" s="109">
        <v>100</v>
      </c>
      <c r="K179" s="109">
        <v>2019</v>
      </c>
      <c r="L179" s="109">
        <v>352.1</v>
      </c>
      <c r="M179" s="110">
        <v>5.4522000000000004</v>
      </c>
      <c r="N179" s="111">
        <f>18510.12*M179</f>
        <v>100920.87626400001</v>
      </c>
      <c r="O179" s="99" t="s">
        <v>411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s="77" customFormat="1" ht="75" customHeight="1" x14ac:dyDescent="0.25">
      <c r="A180" s="106"/>
      <c r="B180" s="100" t="s">
        <v>75</v>
      </c>
      <c r="C180" s="100">
        <v>2014</v>
      </c>
      <c r="D180" s="92" t="s">
        <v>76</v>
      </c>
      <c r="E180" s="116" t="s">
        <v>189</v>
      </c>
      <c r="F180" s="100" t="s">
        <v>151</v>
      </c>
      <c r="G180" s="93">
        <f t="shared" si="7"/>
        <v>7148.0995950912675</v>
      </c>
      <c r="H180" s="94" t="s">
        <v>591</v>
      </c>
      <c r="I180" s="103" t="s">
        <v>592</v>
      </c>
      <c r="J180" s="109">
        <v>101</v>
      </c>
      <c r="K180" s="109">
        <v>2020</v>
      </c>
      <c r="L180" s="109">
        <v>348.97</v>
      </c>
      <c r="M180" s="110">
        <v>5.4691000000000001</v>
      </c>
      <c r="N180" s="111">
        <f>456102.89*M180</f>
        <v>2494472.3156989999</v>
      </c>
      <c r="O180" s="99" t="s">
        <v>412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s="9" customFormat="1" ht="114.6" customHeight="1" x14ac:dyDescent="0.25">
      <c r="A181" s="106"/>
      <c r="B181" s="100" t="s">
        <v>16</v>
      </c>
      <c r="C181" s="100">
        <v>2012</v>
      </c>
      <c r="D181" s="119" t="s">
        <v>15</v>
      </c>
      <c r="E181" s="116" t="s">
        <v>189</v>
      </c>
      <c r="F181" s="92" t="s">
        <v>69</v>
      </c>
      <c r="G181" s="93">
        <f t="shared" si="7"/>
        <v>6738.5658289408548</v>
      </c>
      <c r="H181" s="94" t="s">
        <v>413</v>
      </c>
      <c r="I181" s="95" t="s">
        <v>614</v>
      </c>
      <c r="J181" s="109">
        <v>102</v>
      </c>
      <c r="K181" s="109">
        <v>2021</v>
      </c>
      <c r="L181" s="109">
        <v>343.39</v>
      </c>
      <c r="M181" s="110">
        <v>5.4523000000000001</v>
      </c>
      <c r="N181" s="111">
        <f>424400*M181</f>
        <v>2313956.12</v>
      </c>
      <c r="O181" s="99" t="s">
        <v>415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 s="9" customFormat="1" ht="114.6" customHeight="1" x14ac:dyDescent="0.25">
      <c r="A182" s="106"/>
      <c r="B182" s="100" t="s">
        <v>88</v>
      </c>
      <c r="C182" s="100">
        <v>2011</v>
      </c>
      <c r="D182" s="92" t="s">
        <v>89</v>
      </c>
      <c r="E182" s="116" t="s">
        <v>175</v>
      </c>
      <c r="F182" s="100" t="s">
        <v>151</v>
      </c>
      <c r="G182" s="93">
        <f t="shared" si="7"/>
        <v>1814.1441262895662</v>
      </c>
      <c r="H182" s="94" t="s">
        <v>567</v>
      </c>
      <c r="I182" s="95" t="s">
        <v>615</v>
      </c>
      <c r="J182" s="109">
        <v>103</v>
      </c>
      <c r="K182" s="109">
        <v>2022</v>
      </c>
      <c r="L182" s="109">
        <v>341.2</v>
      </c>
      <c r="M182" s="110">
        <v>5.4370000000000003</v>
      </c>
      <c r="N182" s="111">
        <f>113846.97*M182</f>
        <v>618985.97589</v>
      </c>
      <c r="O182" s="99" t="s">
        <v>414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 s="9" customFormat="1" ht="23.4" customHeight="1" x14ac:dyDescent="0.25">
      <c r="A183" s="154">
        <v>1453</v>
      </c>
      <c r="B183" s="157" t="s">
        <v>416</v>
      </c>
      <c r="C183" s="157">
        <v>2011</v>
      </c>
      <c r="D183" s="160" t="s">
        <v>417</v>
      </c>
      <c r="E183" s="162">
        <v>2016</v>
      </c>
      <c r="F183" s="157" t="s">
        <v>52</v>
      </c>
      <c r="G183" s="93">
        <v>9000</v>
      </c>
      <c r="H183" s="94" t="s">
        <v>25</v>
      </c>
      <c r="I183" s="147" t="s">
        <v>18</v>
      </c>
      <c r="J183" s="135">
        <v>104</v>
      </c>
      <c r="K183" s="135">
        <v>2023</v>
      </c>
      <c r="L183" s="109">
        <v>340.92</v>
      </c>
      <c r="M183" s="110"/>
      <c r="N183" s="111">
        <f>G183*L183</f>
        <v>3068280</v>
      </c>
      <c r="O183" s="99" t="s">
        <v>414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 s="9" customFormat="1" ht="22.95" customHeight="1" x14ac:dyDescent="0.25">
      <c r="A184" s="168"/>
      <c r="B184" s="169"/>
      <c r="C184" s="169"/>
      <c r="D184" s="159"/>
      <c r="E184" s="159"/>
      <c r="F184" s="159"/>
      <c r="G184" s="93">
        <v>3800</v>
      </c>
      <c r="H184" s="94" t="s">
        <v>23</v>
      </c>
      <c r="I184" s="153"/>
      <c r="J184" s="136"/>
      <c r="K184" s="136"/>
      <c r="L184" s="109">
        <v>339.51</v>
      </c>
      <c r="M184" s="110"/>
      <c r="N184" s="111">
        <f>G184*L184</f>
        <v>1290138</v>
      </c>
      <c r="O184" s="99" t="s">
        <v>418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 s="9" customFormat="1" ht="45.6" customHeight="1" x14ac:dyDescent="0.25">
      <c r="A185" s="106">
        <v>1454</v>
      </c>
      <c r="B185" s="100" t="s">
        <v>419</v>
      </c>
      <c r="C185" s="100">
        <v>2006</v>
      </c>
      <c r="D185" s="92" t="s">
        <v>148</v>
      </c>
      <c r="E185" s="116">
        <v>2016</v>
      </c>
      <c r="F185" s="100" t="s">
        <v>420</v>
      </c>
      <c r="G185" s="93">
        <f t="shared" ref="G185:G190" si="8">N185/L185</f>
        <v>2274.6845758809991</v>
      </c>
      <c r="H185" s="94" t="s">
        <v>421</v>
      </c>
      <c r="I185" s="103" t="s">
        <v>65</v>
      </c>
      <c r="J185" s="109">
        <v>105</v>
      </c>
      <c r="K185" s="109">
        <v>2024</v>
      </c>
      <c r="L185" s="109">
        <v>338.82</v>
      </c>
      <c r="M185" s="110">
        <v>5.3513999999999999</v>
      </c>
      <c r="N185" s="111">
        <f>144020*M185</f>
        <v>770708.62800000003</v>
      </c>
      <c r="O185" s="99" t="s">
        <v>422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 s="9" customFormat="1" ht="46.95" customHeight="1" x14ac:dyDescent="0.25">
      <c r="A186" s="106"/>
      <c r="B186" s="100" t="s">
        <v>158</v>
      </c>
      <c r="C186" s="100">
        <v>2013</v>
      </c>
      <c r="D186" s="104" t="s">
        <v>159</v>
      </c>
      <c r="E186" s="116" t="s">
        <v>222</v>
      </c>
      <c r="F186" s="100" t="s">
        <v>420</v>
      </c>
      <c r="G186" s="93">
        <f t="shared" si="8"/>
        <v>1952.5528805855615</v>
      </c>
      <c r="H186" s="94" t="s">
        <v>572</v>
      </c>
      <c r="I186" s="103" t="s">
        <v>65</v>
      </c>
      <c r="J186" s="109">
        <v>106</v>
      </c>
      <c r="K186" s="109">
        <v>2025</v>
      </c>
      <c r="L186" s="109">
        <v>338.82</v>
      </c>
      <c r="M186" s="110">
        <v>5.3476999999999997</v>
      </c>
      <c r="N186" s="111">
        <f>123710*M186</f>
        <v>661563.96699999995</v>
      </c>
      <c r="O186" s="99" t="s">
        <v>422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 s="9" customFormat="1" ht="100.2" customHeight="1" x14ac:dyDescent="0.25">
      <c r="A187" s="106"/>
      <c r="B187" s="100" t="s">
        <v>30</v>
      </c>
      <c r="C187" s="100">
        <v>2005</v>
      </c>
      <c r="D187" s="104" t="s">
        <v>111</v>
      </c>
      <c r="E187" s="116" t="s">
        <v>259</v>
      </c>
      <c r="F187" s="100" t="s">
        <v>151</v>
      </c>
      <c r="G187" s="93">
        <f t="shared" si="8"/>
        <v>2354.5749548786966</v>
      </c>
      <c r="H187" s="94" t="s">
        <v>569</v>
      </c>
      <c r="I187" s="103" t="s">
        <v>18</v>
      </c>
      <c r="J187" s="109">
        <v>107</v>
      </c>
      <c r="K187" s="109">
        <v>2026</v>
      </c>
      <c r="L187" s="109">
        <v>338.82</v>
      </c>
      <c r="M187" s="110">
        <v>5.3456999999999999</v>
      </c>
      <c r="N187" s="111">
        <f>149237.16*M187</f>
        <v>797777.08621199999</v>
      </c>
      <c r="O187" s="99" t="s">
        <v>422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 s="77" customFormat="1" ht="60.6" customHeight="1" x14ac:dyDescent="0.25">
      <c r="A188" s="106"/>
      <c r="B188" s="120" t="s">
        <v>123</v>
      </c>
      <c r="C188" s="100">
        <v>2013</v>
      </c>
      <c r="D188" s="104" t="s">
        <v>124</v>
      </c>
      <c r="E188" s="116" t="s">
        <v>423</v>
      </c>
      <c r="F188" s="100" t="s">
        <v>117</v>
      </c>
      <c r="G188" s="93">
        <f t="shared" si="8"/>
        <v>7317.7882061181126</v>
      </c>
      <c r="H188" s="94" t="s">
        <v>588</v>
      </c>
      <c r="I188" s="103" t="s">
        <v>65</v>
      </c>
      <c r="J188" s="109">
        <v>108</v>
      </c>
      <c r="K188" s="109">
        <v>2027</v>
      </c>
      <c r="L188" s="109">
        <v>338.83</v>
      </c>
      <c r="M188" s="110">
        <v>5.3190999999999997</v>
      </c>
      <c r="N188" s="111">
        <f>466147.69*M188</f>
        <v>2479486.1778790001</v>
      </c>
      <c r="O188" s="99" t="s">
        <v>424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 s="77" customFormat="1" ht="75" customHeight="1" x14ac:dyDescent="0.25">
      <c r="A189" s="106"/>
      <c r="B189" s="100" t="s">
        <v>392</v>
      </c>
      <c r="C189" s="100">
        <v>2002</v>
      </c>
      <c r="D189" s="104" t="s">
        <v>393</v>
      </c>
      <c r="E189" s="116" t="s">
        <v>222</v>
      </c>
      <c r="F189" s="100" t="s">
        <v>151</v>
      </c>
      <c r="G189" s="93">
        <f t="shared" si="8"/>
        <v>1952.4222832344344</v>
      </c>
      <c r="H189" s="94" t="s">
        <v>627</v>
      </c>
      <c r="I189" s="103" t="s">
        <v>65</v>
      </c>
      <c r="J189" s="109">
        <v>109</v>
      </c>
      <c r="K189" s="109">
        <v>2028</v>
      </c>
      <c r="L189" s="109">
        <v>338.73</v>
      </c>
      <c r="M189" s="110">
        <v>5.3120000000000003</v>
      </c>
      <c r="N189" s="111">
        <f>124500*M189</f>
        <v>661344</v>
      </c>
      <c r="O189" s="99" t="s">
        <v>425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 s="27" customFormat="1" ht="48.6" customHeight="1" x14ac:dyDescent="0.25">
      <c r="A190" s="106">
        <v>1455</v>
      </c>
      <c r="B190" s="100" t="s">
        <v>426</v>
      </c>
      <c r="C190" s="100">
        <v>2007</v>
      </c>
      <c r="D190" s="92" t="s">
        <v>148</v>
      </c>
      <c r="E190" s="116">
        <v>2016</v>
      </c>
      <c r="F190" s="100" t="s">
        <v>420</v>
      </c>
      <c r="G190" s="93">
        <f t="shared" si="8"/>
        <v>2010.554689575768</v>
      </c>
      <c r="H190" s="94" t="s">
        <v>596</v>
      </c>
      <c r="I190" s="103" t="s">
        <v>65</v>
      </c>
      <c r="J190" s="109">
        <v>110</v>
      </c>
      <c r="K190" s="109">
        <v>2029</v>
      </c>
      <c r="L190" s="109">
        <v>338.73</v>
      </c>
      <c r="M190" s="110">
        <v>5.3789999999999996</v>
      </c>
      <c r="N190" s="111">
        <f>126610*M190</f>
        <v>681035.19</v>
      </c>
      <c r="O190" s="99" t="s">
        <v>425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 s="9" customFormat="1" ht="39.6" customHeight="1" x14ac:dyDescent="0.25">
      <c r="A191" s="106"/>
      <c r="B191" s="100" t="s">
        <v>184</v>
      </c>
      <c r="C191" s="100">
        <v>2010</v>
      </c>
      <c r="D191" s="104" t="s">
        <v>56</v>
      </c>
      <c r="E191" s="116" t="s">
        <v>202</v>
      </c>
      <c r="F191" s="92" t="s">
        <v>52</v>
      </c>
      <c r="G191" s="93">
        <v>230</v>
      </c>
      <c r="H191" s="94" t="s">
        <v>575</v>
      </c>
      <c r="I191" s="103" t="s">
        <v>65</v>
      </c>
      <c r="J191" s="109"/>
      <c r="K191" s="109"/>
      <c r="L191" s="109">
        <v>341.42</v>
      </c>
      <c r="M191" s="110"/>
      <c r="N191" s="111">
        <f>G191*L191</f>
        <v>78526.600000000006</v>
      </c>
      <c r="O191" s="99" t="s">
        <v>427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 s="9" customFormat="1" ht="57" customHeight="1" x14ac:dyDescent="0.25">
      <c r="A192" s="106"/>
      <c r="B192" s="100" t="s">
        <v>428</v>
      </c>
      <c r="C192" s="100">
        <v>2002</v>
      </c>
      <c r="D192" s="113" t="s">
        <v>132</v>
      </c>
      <c r="E192" s="113" t="s">
        <v>222</v>
      </c>
      <c r="F192" s="116" t="s">
        <v>133</v>
      </c>
      <c r="G192" s="93">
        <f>N192/L192</f>
        <v>721.17891815030964</v>
      </c>
      <c r="H192" s="94" t="s">
        <v>429</v>
      </c>
      <c r="I192" s="103" t="s">
        <v>65</v>
      </c>
      <c r="J192" s="109">
        <v>111</v>
      </c>
      <c r="K192" s="109">
        <v>2030</v>
      </c>
      <c r="L192" s="109">
        <v>337.57</v>
      </c>
      <c r="M192" s="110">
        <v>5.4306000000000001</v>
      </c>
      <c r="N192" s="111">
        <f>44829*M192</f>
        <v>243448.36740000002</v>
      </c>
      <c r="O192" s="99" t="s">
        <v>430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 spans="1:25" s="30" customFormat="1" ht="65.25" customHeight="1" x14ac:dyDescent="0.25">
      <c r="A193" s="154"/>
      <c r="B193" s="157" t="s">
        <v>20</v>
      </c>
      <c r="C193" s="157">
        <v>2007</v>
      </c>
      <c r="D193" s="160" t="s">
        <v>146</v>
      </c>
      <c r="E193" s="162" t="s">
        <v>423</v>
      </c>
      <c r="F193" s="157" t="s">
        <v>52</v>
      </c>
      <c r="G193" s="143">
        <v>9000</v>
      </c>
      <c r="H193" s="145" t="s">
        <v>25</v>
      </c>
      <c r="I193" s="147" t="s">
        <v>65</v>
      </c>
      <c r="J193" s="135">
        <v>112</v>
      </c>
      <c r="K193" s="135">
        <v>2031</v>
      </c>
      <c r="L193" s="135">
        <v>340.2</v>
      </c>
      <c r="M193" s="141"/>
      <c r="N193" s="137">
        <f>G193*L193</f>
        <v>3061800</v>
      </c>
      <c r="O193" s="139" t="s">
        <v>430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 spans="1:25" s="30" customFormat="1" ht="37.950000000000003" customHeight="1" x14ac:dyDescent="0.25">
      <c r="A194" s="168"/>
      <c r="B194" s="169"/>
      <c r="C194" s="169"/>
      <c r="D194" s="159"/>
      <c r="E194" s="159"/>
      <c r="F194" s="169"/>
      <c r="G194" s="172"/>
      <c r="H194" s="173"/>
      <c r="I194" s="153"/>
      <c r="J194" s="136"/>
      <c r="K194" s="136"/>
      <c r="L194" s="136"/>
      <c r="M194" s="142"/>
      <c r="N194" s="138"/>
      <c r="O194" s="140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 s="9" customFormat="1" ht="57.6" customHeight="1" x14ac:dyDescent="0.25">
      <c r="A195" s="106"/>
      <c r="B195" s="100" t="s">
        <v>54</v>
      </c>
      <c r="C195" s="100">
        <v>2005</v>
      </c>
      <c r="D195" s="100" t="s">
        <v>55</v>
      </c>
      <c r="E195" s="116" t="s">
        <v>174</v>
      </c>
      <c r="F195" s="92" t="s">
        <v>52</v>
      </c>
      <c r="G195" s="93">
        <v>5300</v>
      </c>
      <c r="H195" s="94" t="s">
        <v>129</v>
      </c>
      <c r="I195" s="103" t="s">
        <v>65</v>
      </c>
      <c r="J195" s="109">
        <v>113</v>
      </c>
      <c r="K195" s="109">
        <v>2032</v>
      </c>
      <c r="L195" s="109">
        <v>340.2</v>
      </c>
      <c r="M195" s="110"/>
      <c r="N195" s="111">
        <f>G195*L195</f>
        <v>1803060</v>
      </c>
      <c r="O195" s="99" t="s">
        <v>430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 spans="1:25" s="9" customFormat="1" ht="70.95" customHeight="1" x14ac:dyDescent="0.25">
      <c r="A196" s="106"/>
      <c r="B196" s="100" t="s">
        <v>97</v>
      </c>
      <c r="C196" s="100">
        <v>2012</v>
      </c>
      <c r="D196" s="104" t="s">
        <v>432</v>
      </c>
      <c r="E196" s="116" t="s">
        <v>174</v>
      </c>
      <c r="F196" s="100" t="s">
        <v>420</v>
      </c>
      <c r="G196" s="93">
        <f>N196/L196</f>
        <v>3288.7297633171197</v>
      </c>
      <c r="H196" s="94" t="s">
        <v>573</v>
      </c>
      <c r="I196" s="103" t="s">
        <v>65</v>
      </c>
      <c r="J196" s="109">
        <v>114</v>
      </c>
      <c r="K196" s="109">
        <v>2033</v>
      </c>
      <c r="L196" s="109">
        <v>337.16</v>
      </c>
      <c r="M196" s="110">
        <v>5.3471000000000002</v>
      </c>
      <c r="N196" s="111">
        <f>207370*M196</f>
        <v>1108828.1270000001</v>
      </c>
      <c r="O196" s="99" t="s">
        <v>431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 spans="1:25" s="9" customFormat="1" ht="44.4" customHeight="1" x14ac:dyDescent="0.25">
      <c r="A197" s="106">
        <v>1456</v>
      </c>
      <c r="B197" s="100" t="s">
        <v>433</v>
      </c>
      <c r="C197" s="100">
        <v>2004</v>
      </c>
      <c r="D197" s="104" t="s">
        <v>434</v>
      </c>
      <c r="E197" s="116">
        <v>2016</v>
      </c>
      <c r="F197" s="100" t="s">
        <v>435</v>
      </c>
      <c r="G197" s="93">
        <f>N197/L197</f>
        <v>755.71491064283794</v>
      </c>
      <c r="H197" s="94" t="s">
        <v>436</v>
      </c>
      <c r="I197" s="103" t="s">
        <v>65</v>
      </c>
      <c r="J197" s="109">
        <v>115</v>
      </c>
      <c r="K197" s="109">
        <v>2034</v>
      </c>
      <c r="L197" s="109">
        <v>337.41</v>
      </c>
      <c r="M197" s="110">
        <v>5.3930999999999996</v>
      </c>
      <c r="N197" s="111">
        <f>47280*M197</f>
        <v>254985.76799999998</v>
      </c>
      <c r="O197" s="99" t="s">
        <v>437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 spans="1:25" s="9" customFormat="1" ht="74.400000000000006" customHeight="1" x14ac:dyDescent="0.25">
      <c r="A198" s="106">
        <v>1457</v>
      </c>
      <c r="B198" s="100" t="s">
        <v>438</v>
      </c>
      <c r="C198" s="100">
        <v>2014</v>
      </c>
      <c r="D198" s="105" t="s">
        <v>439</v>
      </c>
      <c r="E198" s="116">
        <v>2016</v>
      </c>
      <c r="F198" s="100" t="s">
        <v>151</v>
      </c>
      <c r="G198" s="93">
        <f>N198/L198</f>
        <v>2476.0776490797543</v>
      </c>
      <c r="H198" s="94" t="s">
        <v>568</v>
      </c>
      <c r="I198" s="103" t="s">
        <v>65</v>
      </c>
      <c r="J198" s="109">
        <v>116</v>
      </c>
      <c r="K198" s="109">
        <v>2035</v>
      </c>
      <c r="L198" s="109">
        <v>337.41</v>
      </c>
      <c r="M198" s="110">
        <v>5.3064</v>
      </c>
      <c r="N198" s="111">
        <f>157442.59*M198</f>
        <v>835453.35957600002</v>
      </c>
      <c r="O198" s="99" t="s">
        <v>437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 spans="1:25" s="9" customFormat="1" ht="60" customHeight="1" x14ac:dyDescent="0.25">
      <c r="A199" s="106"/>
      <c r="B199" s="100" t="s">
        <v>264</v>
      </c>
      <c r="C199" s="100">
        <v>2013</v>
      </c>
      <c r="D199" s="115" t="s">
        <v>13</v>
      </c>
      <c r="E199" s="116" t="s">
        <v>222</v>
      </c>
      <c r="F199" s="100" t="s">
        <v>112</v>
      </c>
      <c r="G199" s="93">
        <f>N199/L199</f>
        <v>2388.7505154639175</v>
      </c>
      <c r="H199" s="94" t="s">
        <v>564</v>
      </c>
      <c r="I199" s="103" t="s">
        <v>65</v>
      </c>
      <c r="J199" s="109">
        <v>117</v>
      </c>
      <c r="K199" s="109">
        <v>2036</v>
      </c>
      <c r="L199" s="109">
        <v>339.5</v>
      </c>
      <c r="M199" s="110">
        <v>5.3353999999999999</v>
      </c>
      <c r="N199" s="111">
        <f>152000*M199</f>
        <v>810980.79999999993</v>
      </c>
      <c r="O199" s="99" t="s">
        <v>440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 spans="1:25" s="9" customFormat="1" ht="59.4" customHeight="1" x14ac:dyDescent="0.25">
      <c r="A200" s="106"/>
      <c r="B200" s="100" t="s">
        <v>12</v>
      </c>
      <c r="C200" s="100">
        <v>2008</v>
      </c>
      <c r="D200" s="115" t="s">
        <v>13</v>
      </c>
      <c r="E200" s="116" t="s">
        <v>246</v>
      </c>
      <c r="F200" s="92" t="s">
        <v>112</v>
      </c>
      <c r="G200" s="93">
        <f>N200/L200</f>
        <v>823.17599999999993</v>
      </c>
      <c r="H200" s="94" t="s">
        <v>563</v>
      </c>
      <c r="I200" s="103" t="s">
        <v>65</v>
      </c>
      <c r="J200" s="109">
        <v>118</v>
      </c>
      <c r="K200" s="109">
        <v>2037</v>
      </c>
      <c r="L200" s="109">
        <v>339.5</v>
      </c>
      <c r="M200" s="110">
        <v>5.3353999999999999</v>
      </c>
      <c r="N200" s="111">
        <f>52380*M200</f>
        <v>279468.25199999998</v>
      </c>
      <c r="O200" s="99" t="s">
        <v>440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 spans="1:25" s="9" customFormat="1" ht="24" customHeight="1" x14ac:dyDescent="0.25">
      <c r="A201" s="154"/>
      <c r="B201" s="157" t="s">
        <v>416</v>
      </c>
      <c r="C201" s="157">
        <v>2011</v>
      </c>
      <c r="D201" s="160" t="s">
        <v>417</v>
      </c>
      <c r="E201" s="162" t="s">
        <v>222</v>
      </c>
      <c r="F201" s="157" t="s">
        <v>52</v>
      </c>
      <c r="G201" s="93">
        <v>9000</v>
      </c>
      <c r="H201" s="94" t="s">
        <v>25</v>
      </c>
      <c r="I201" s="147" t="s">
        <v>65</v>
      </c>
      <c r="J201" s="135">
        <v>119</v>
      </c>
      <c r="K201" s="135">
        <v>2038</v>
      </c>
      <c r="L201" s="109">
        <v>340.2</v>
      </c>
      <c r="M201" s="110"/>
      <c r="N201" s="111">
        <f>G201*L201</f>
        <v>3061800</v>
      </c>
      <c r="O201" s="99" t="s">
        <v>441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 spans="1:25" s="9" customFormat="1" ht="24.75" customHeight="1" x14ac:dyDescent="0.25">
      <c r="A202" s="168"/>
      <c r="B202" s="169"/>
      <c r="C202" s="169"/>
      <c r="D202" s="159"/>
      <c r="E202" s="159"/>
      <c r="F202" s="159"/>
      <c r="G202" s="93">
        <v>550</v>
      </c>
      <c r="H202" s="94" t="s">
        <v>443</v>
      </c>
      <c r="I202" s="153"/>
      <c r="J202" s="136"/>
      <c r="K202" s="136"/>
      <c r="L202" s="109">
        <v>340.2</v>
      </c>
      <c r="M202" s="110"/>
      <c r="N202" s="111">
        <f>G202*L202</f>
        <v>187110</v>
      </c>
      <c r="O202" s="99" t="s">
        <v>442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 spans="1:25" s="9" customFormat="1" ht="48" customHeight="1" x14ac:dyDescent="0.25">
      <c r="A203" s="106">
        <v>1458</v>
      </c>
      <c r="B203" s="100" t="s">
        <v>444</v>
      </c>
      <c r="C203" s="100">
        <v>2015</v>
      </c>
      <c r="D203" s="104" t="s">
        <v>336</v>
      </c>
      <c r="E203" s="116">
        <v>2016</v>
      </c>
      <c r="F203" s="100" t="s">
        <v>78</v>
      </c>
      <c r="G203" s="93">
        <f>N203/L203</f>
        <v>917.33875062987238</v>
      </c>
      <c r="H203" s="94" t="s">
        <v>445</v>
      </c>
      <c r="I203" s="103" t="s">
        <v>65</v>
      </c>
      <c r="J203" s="109">
        <v>120</v>
      </c>
      <c r="K203" s="109">
        <v>2039</v>
      </c>
      <c r="L203" s="109">
        <v>337.37</v>
      </c>
      <c r="M203" s="110">
        <v>5.4279000000000002</v>
      </c>
      <c r="N203" s="111">
        <f>57017*M203</f>
        <v>309482.57430000004</v>
      </c>
      <c r="O203" s="99" t="s">
        <v>446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 spans="1:25" s="9" customFormat="1" ht="43.95" customHeight="1" x14ac:dyDescent="0.25">
      <c r="A204" s="106"/>
      <c r="B204" s="100" t="s">
        <v>266</v>
      </c>
      <c r="C204" s="100">
        <v>2015</v>
      </c>
      <c r="D204" s="104" t="s">
        <v>139</v>
      </c>
      <c r="E204" s="116" t="s">
        <v>222</v>
      </c>
      <c r="F204" s="100" t="s">
        <v>78</v>
      </c>
      <c r="G204" s="93">
        <f>N204/L204</f>
        <v>958.20644692770543</v>
      </c>
      <c r="H204" s="94" t="s">
        <v>447</v>
      </c>
      <c r="I204" s="103" t="s">
        <v>65</v>
      </c>
      <c r="J204" s="109">
        <v>121</v>
      </c>
      <c r="K204" s="109">
        <v>2040</v>
      </c>
      <c r="L204" s="109">
        <v>337.37</v>
      </c>
      <c r="M204" s="110">
        <v>5.4269999999999996</v>
      </c>
      <c r="N204" s="111">
        <f>59567*M204</f>
        <v>323270.109</v>
      </c>
      <c r="O204" s="99" t="s">
        <v>446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 spans="1:25" s="9" customFormat="1" ht="119.4" customHeight="1" x14ac:dyDescent="0.25">
      <c r="A205" s="154">
        <v>1459</v>
      </c>
      <c r="B205" s="157" t="s">
        <v>448</v>
      </c>
      <c r="C205" s="157">
        <v>2012</v>
      </c>
      <c r="D205" s="160" t="s">
        <v>449</v>
      </c>
      <c r="E205" s="162">
        <v>2016</v>
      </c>
      <c r="F205" s="157" t="s">
        <v>450</v>
      </c>
      <c r="G205" s="93">
        <v>5000</v>
      </c>
      <c r="H205" s="94" t="s">
        <v>49</v>
      </c>
      <c r="I205" s="95" t="s">
        <v>616</v>
      </c>
      <c r="J205" s="135">
        <v>122</v>
      </c>
      <c r="K205" s="135">
        <v>2041</v>
      </c>
      <c r="L205" s="109">
        <v>340.2</v>
      </c>
      <c r="M205" s="110"/>
      <c r="N205" s="111">
        <f>G205*L205</f>
        <v>1701000</v>
      </c>
      <c r="O205" s="99" t="s">
        <v>451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 spans="1:25" s="9" customFormat="1" ht="31.2" customHeight="1" x14ac:dyDescent="0.25">
      <c r="A206" s="155"/>
      <c r="B206" s="158"/>
      <c r="C206" s="158"/>
      <c r="D206" s="163"/>
      <c r="E206" s="163"/>
      <c r="F206" s="158"/>
      <c r="G206" s="93">
        <v>4000</v>
      </c>
      <c r="H206" s="94" t="s">
        <v>47</v>
      </c>
      <c r="I206" s="103" t="s">
        <v>65</v>
      </c>
      <c r="J206" s="166"/>
      <c r="K206" s="166"/>
      <c r="L206" s="109">
        <v>340.2</v>
      </c>
      <c r="M206" s="110"/>
      <c r="N206" s="111">
        <f>G206*L206</f>
        <v>1360800</v>
      </c>
      <c r="O206" s="99" t="s">
        <v>452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 spans="1:25" s="9" customFormat="1" ht="44.4" customHeight="1" x14ac:dyDescent="0.25">
      <c r="A207" s="168"/>
      <c r="B207" s="169"/>
      <c r="C207" s="169"/>
      <c r="D207" s="159"/>
      <c r="E207" s="159"/>
      <c r="F207" s="169"/>
      <c r="G207" s="93">
        <v>3000</v>
      </c>
      <c r="H207" s="94" t="s">
        <v>42</v>
      </c>
      <c r="I207" s="103" t="s">
        <v>18</v>
      </c>
      <c r="J207" s="136"/>
      <c r="K207" s="136"/>
      <c r="L207" s="109">
        <v>336.31</v>
      </c>
      <c r="M207" s="110"/>
      <c r="N207" s="111">
        <f>G207*L207</f>
        <v>1008930</v>
      </c>
      <c r="O207" s="99" t="s">
        <v>452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 spans="1:25" s="9" customFormat="1" ht="48" customHeight="1" x14ac:dyDescent="0.25">
      <c r="A208" s="106">
        <v>1460</v>
      </c>
      <c r="B208" s="100" t="s">
        <v>453</v>
      </c>
      <c r="C208" s="100">
        <v>2015</v>
      </c>
      <c r="D208" s="104" t="s">
        <v>336</v>
      </c>
      <c r="E208" s="116">
        <v>2016</v>
      </c>
      <c r="F208" s="100" t="s">
        <v>454</v>
      </c>
      <c r="G208" s="93">
        <f>N208/L208</f>
        <v>2105.2550825731832</v>
      </c>
      <c r="H208" s="94" t="s">
        <v>455</v>
      </c>
      <c r="I208" s="95" t="s">
        <v>65</v>
      </c>
      <c r="J208" s="109">
        <v>123</v>
      </c>
      <c r="K208" s="109">
        <v>2042</v>
      </c>
      <c r="L208" s="109">
        <v>335.46</v>
      </c>
      <c r="M208" s="110">
        <v>5.4513999999999996</v>
      </c>
      <c r="N208" s="111">
        <f>129550*M208</f>
        <v>706228.87</v>
      </c>
      <c r="O208" s="99" t="s">
        <v>456</v>
      </c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 spans="1:25" s="9" customFormat="1" ht="36" customHeight="1" x14ac:dyDescent="0.25">
      <c r="A209" s="106"/>
      <c r="B209" s="100" t="s">
        <v>140</v>
      </c>
      <c r="C209" s="100">
        <v>2013</v>
      </c>
      <c r="D209" s="116" t="s">
        <v>19</v>
      </c>
      <c r="E209" s="116" t="s">
        <v>174</v>
      </c>
      <c r="F209" s="92" t="s">
        <v>113</v>
      </c>
      <c r="G209" s="93">
        <v>4500</v>
      </c>
      <c r="H209" s="94" t="s">
        <v>457</v>
      </c>
      <c r="I209" s="95" t="s">
        <v>65</v>
      </c>
      <c r="J209" s="109">
        <v>124</v>
      </c>
      <c r="K209" s="109">
        <v>2043</v>
      </c>
      <c r="L209" s="109">
        <v>340.2</v>
      </c>
      <c r="M209" s="110"/>
      <c r="N209" s="111">
        <f>G209*L209</f>
        <v>1530900</v>
      </c>
      <c r="O209" s="99" t="s">
        <v>458</v>
      </c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 spans="1:25" s="9" customFormat="1" ht="126" customHeight="1" x14ac:dyDescent="0.25">
      <c r="A210" s="106">
        <v>1461</v>
      </c>
      <c r="B210" s="100" t="s">
        <v>459</v>
      </c>
      <c r="C210" s="100">
        <v>2014</v>
      </c>
      <c r="D210" s="104" t="s">
        <v>617</v>
      </c>
      <c r="E210" s="116">
        <v>2016</v>
      </c>
      <c r="F210" s="92" t="s">
        <v>113</v>
      </c>
      <c r="G210" s="93">
        <v>7400</v>
      </c>
      <c r="H210" s="94" t="s">
        <v>461</v>
      </c>
      <c r="I210" s="95" t="s">
        <v>65</v>
      </c>
      <c r="J210" s="109">
        <v>125</v>
      </c>
      <c r="K210" s="109">
        <v>2044</v>
      </c>
      <c r="L210" s="109">
        <v>340.2</v>
      </c>
      <c r="M210" s="110"/>
      <c r="N210" s="111">
        <f>G210*L210</f>
        <v>2517480</v>
      </c>
      <c r="O210" s="99" t="s">
        <v>458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 spans="1:25" s="9" customFormat="1" ht="66" customHeight="1" x14ac:dyDescent="0.25">
      <c r="A211" s="106">
        <v>1462</v>
      </c>
      <c r="B211" s="100" t="s">
        <v>462</v>
      </c>
      <c r="C211" s="100">
        <v>2007</v>
      </c>
      <c r="D211" s="104" t="s">
        <v>464</v>
      </c>
      <c r="E211" s="116">
        <v>2016</v>
      </c>
      <c r="F211" s="100" t="s">
        <v>465</v>
      </c>
      <c r="G211" s="93">
        <f>N211/L211</f>
        <v>2581.51657040912</v>
      </c>
      <c r="H211" s="94" t="s">
        <v>463</v>
      </c>
      <c r="I211" s="95" t="s">
        <v>65</v>
      </c>
      <c r="J211" s="109">
        <v>126</v>
      </c>
      <c r="K211" s="109">
        <v>2045</v>
      </c>
      <c r="L211" s="109">
        <v>330.71</v>
      </c>
      <c r="M211" s="110">
        <v>5.3334999999999999</v>
      </c>
      <c r="N211" s="111">
        <f>160070*M211</f>
        <v>853733.34499999997</v>
      </c>
      <c r="O211" s="99" t="s">
        <v>466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 spans="1:25" s="9" customFormat="1" ht="112.95" customHeight="1" x14ac:dyDescent="0.25">
      <c r="A212" s="106"/>
      <c r="B212" s="100" t="s">
        <v>305</v>
      </c>
      <c r="C212" s="100">
        <v>2015</v>
      </c>
      <c r="D212" s="88" t="s">
        <v>17</v>
      </c>
      <c r="E212" s="116" t="s">
        <v>175</v>
      </c>
      <c r="F212" s="92" t="s">
        <v>78</v>
      </c>
      <c r="G212" s="93">
        <f>N212/L212</f>
        <v>952.81284524384364</v>
      </c>
      <c r="H212" s="94" t="s">
        <v>467</v>
      </c>
      <c r="I212" s="95" t="s">
        <v>618</v>
      </c>
      <c r="J212" s="109">
        <v>127</v>
      </c>
      <c r="K212" s="109">
        <v>2046</v>
      </c>
      <c r="L212" s="109">
        <v>331.36</v>
      </c>
      <c r="M212" s="110">
        <v>5.4156000000000004</v>
      </c>
      <c r="N212" s="111">
        <f>58299*M212</f>
        <v>315724.06440000003</v>
      </c>
      <c r="O212" s="99" t="s">
        <v>468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 spans="1:25" s="9" customFormat="1" ht="33" customHeight="1" x14ac:dyDescent="0.25">
      <c r="A213" s="106">
        <v>1463</v>
      </c>
      <c r="B213" s="100" t="s">
        <v>469</v>
      </c>
      <c r="C213" s="100">
        <v>2015</v>
      </c>
      <c r="D213" s="121" t="s">
        <v>470</v>
      </c>
      <c r="E213" s="116">
        <v>2016</v>
      </c>
      <c r="F213" s="116" t="s">
        <v>375</v>
      </c>
      <c r="G213" s="93">
        <v>12620.88</v>
      </c>
      <c r="H213" s="94" t="s">
        <v>580</v>
      </c>
      <c r="I213" s="95" t="s">
        <v>65</v>
      </c>
      <c r="J213" s="109">
        <v>128</v>
      </c>
      <c r="K213" s="109">
        <v>2047</v>
      </c>
      <c r="L213" s="109">
        <v>340.2</v>
      </c>
      <c r="M213" s="110"/>
      <c r="N213" s="111">
        <f>G213*L213</f>
        <v>4293623.3759999992</v>
      </c>
      <c r="O213" s="99" t="s">
        <v>468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 spans="1:25" s="9" customFormat="1" ht="73.2" customHeight="1" x14ac:dyDescent="0.25">
      <c r="A214" s="106"/>
      <c r="B214" s="100" t="s">
        <v>162</v>
      </c>
      <c r="C214" s="100">
        <v>2014</v>
      </c>
      <c r="D214" s="102" t="s">
        <v>163</v>
      </c>
      <c r="E214" s="116" t="s">
        <v>174</v>
      </c>
      <c r="F214" s="116" t="s">
        <v>133</v>
      </c>
      <c r="G214" s="93">
        <f>N214/L214</f>
        <v>704.17369716926987</v>
      </c>
      <c r="H214" s="94" t="s">
        <v>559</v>
      </c>
      <c r="I214" s="103" t="s">
        <v>18</v>
      </c>
      <c r="J214" s="109">
        <v>129</v>
      </c>
      <c r="K214" s="109">
        <v>2048</v>
      </c>
      <c r="L214" s="109">
        <v>331.01</v>
      </c>
      <c r="M214" s="110">
        <v>5.4154999999999998</v>
      </c>
      <c r="N214" s="111">
        <f>43041*M214</f>
        <v>233088.5355</v>
      </c>
      <c r="O214" s="99" t="s">
        <v>471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 spans="1:25" s="9" customFormat="1" ht="36.75" customHeight="1" x14ac:dyDescent="0.25">
      <c r="A215" s="154"/>
      <c r="B215" s="157" t="s">
        <v>459</v>
      </c>
      <c r="C215" s="157">
        <v>2014</v>
      </c>
      <c r="D215" s="160" t="s">
        <v>460</v>
      </c>
      <c r="E215" s="162" t="s">
        <v>202</v>
      </c>
      <c r="F215" s="157" t="s">
        <v>113</v>
      </c>
      <c r="G215" s="93">
        <v>9000</v>
      </c>
      <c r="H215" s="94" t="s">
        <v>25</v>
      </c>
      <c r="I215" s="147" t="s">
        <v>65</v>
      </c>
      <c r="J215" s="109"/>
      <c r="K215" s="109"/>
      <c r="L215" s="109">
        <v>340.2</v>
      </c>
      <c r="M215" s="110"/>
      <c r="N215" s="111">
        <f>G215*L215</f>
        <v>3061800</v>
      </c>
      <c r="O215" s="99" t="s">
        <v>472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 spans="1:25" s="9" customFormat="1" ht="78.599999999999994" customHeight="1" x14ac:dyDescent="0.25">
      <c r="A216" s="156"/>
      <c r="B216" s="159"/>
      <c r="C216" s="159"/>
      <c r="D216" s="159"/>
      <c r="E216" s="159"/>
      <c r="F216" s="159"/>
      <c r="G216" s="93">
        <v>3000</v>
      </c>
      <c r="H216" s="94" t="s">
        <v>42</v>
      </c>
      <c r="I216" s="148"/>
      <c r="J216" s="122"/>
      <c r="K216" s="122"/>
      <c r="L216" s="109">
        <v>340.2</v>
      </c>
      <c r="M216" s="110"/>
      <c r="N216" s="111">
        <f>G216*L216</f>
        <v>1020600</v>
      </c>
      <c r="O216" s="99" t="s">
        <v>475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 spans="1:25" s="9" customFormat="1" ht="21.6" customHeight="1" x14ac:dyDescent="0.25">
      <c r="A217" s="154">
        <v>1464</v>
      </c>
      <c r="B217" s="157" t="s">
        <v>473</v>
      </c>
      <c r="C217" s="157">
        <v>2004</v>
      </c>
      <c r="D217" s="160" t="s">
        <v>474</v>
      </c>
      <c r="E217" s="162">
        <v>2016</v>
      </c>
      <c r="F217" s="157" t="s">
        <v>52</v>
      </c>
      <c r="G217" s="93">
        <v>9000</v>
      </c>
      <c r="H217" s="94" t="s">
        <v>25</v>
      </c>
      <c r="I217" s="147" t="s">
        <v>18</v>
      </c>
      <c r="J217" s="135">
        <v>130</v>
      </c>
      <c r="K217" s="135">
        <v>2049</v>
      </c>
      <c r="L217" s="109">
        <v>332.7</v>
      </c>
      <c r="M217" s="110"/>
      <c r="N217" s="111">
        <f>G217*L217</f>
        <v>2994300</v>
      </c>
      <c r="O217" s="99" t="s">
        <v>472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 spans="1:25" s="9" customFormat="1" ht="21.6" customHeight="1" x14ac:dyDescent="0.25">
      <c r="A218" s="156"/>
      <c r="B218" s="159"/>
      <c r="C218" s="159"/>
      <c r="D218" s="159"/>
      <c r="E218" s="159"/>
      <c r="F218" s="159"/>
      <c r="G218" s="93">
        <v>1000</v>
      </c>
      <c r="H218" s="94" t="s">
        <v>92</v>
      </c>
      <c r="I218" s="148"/>
      <c r="J218" s="136"/>
      <c r="K218" s="136"/>
      <c r="L218" s="109">
        <v>332.29</v>
      </c>
      <c r="M218" s="110"/>
      <c r="N218" s="111">
        <f>G218*L218</f>
        <v>332290</v>
      </c>
      <c r="O218" s="99" t="s">
        <v>475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 spans="1:25" s="9" customFormat="1" ht="35.4" customHeight="1" x14ac:dyDescent="0.25">
      <c r="A219" s="154">
        <v>1465</v>
      </c>
      <c r="B219" s="157" t="s">
        <v>476</v>
      </c>
      <c r="C219" s="157">
        <v>2014</v>
      </c>
      <c r="D219" s="160" t="s">
        <v>477</v>
      </c>
      <c r="E219" s="162">
        <v>2016</v>
      </c>
      <c r="F219" s="157" t="s">
        <v>478</v>
      </c>
      <c r="G219" s="93">
        <f>N219/L219</f>
        <v>8185.7134205426355</v>
      </c>
      <c r="H219" s="94" t="s">
        <v>479</v>
      </c>
      <c r="I219" s="103" t="s">
        <v>18</v>
      </c>
      <c r="J219" s="135">
        <v>131</v>
      </c>
      <c r="K219" s="135">
        <v>2050</v>
      </c>
      <c r="L219" s="109">
        <v>330.24</v>
      </c>
      <c r="M219" s="110">
        <v>5.4065000000000003</v>
      </c>
      <c r="N219" s="111">
        <f>500000*M219</f>
        <v>2703250</v>
      </c>
      <c r="O219" s="99" t="s">
        <v>480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 spans="1:25" s="9" customFormat="1" ht="32.4" customHeight="1" x14ac:dyDescent="0.25">
      <c r="A220" s="168"/>
      <c r="B220" s="169"/>
      <c r="C220" s="169"/>
      <c r="D220" s="170"/>
      <c r="E220" s="159"/>
      <c r="F220" s="169"/>
      <c r="G220" s="93">
        <f>N220/L220</f>
        <v>3282.806252271901</v>
      </c>
      <c r="H220" s="94" t="s">
        <v>482</v>
      </c>
      <c r="I220" s="103" t="s">
        <v>65</v>
      </c>
      <c r="J220" s="136"/>
      <c r="K220" s="136"/>
      <c r="L220" s="109">
        <v>330.12</v>
      </c>
      <c r="M220" s="110">
        <v>5.4185999999999996</v>
      </c>
      <c r="N220" s="111">
        <f>200000*M220</f>
        <v>1083720</v>
      </c>
      <c r="O220" s="99" t="s">
        <v>483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 spans="1:25" s="9" customFormat="1" ht="24.6" customHeight="1" x14ac:dyDescent="0.25">
      <c r="A221" s="154"/>
      <c r="B221" s="157" t="s">
        <v>72</v>
      </c>
      <c r="C221" s="157">
        <v>2007</v>
      </c>
      <c r="D221" s="160" t="s">
        <v>481</v>
      </c>
      <c r="E221" s="162" t="s">
        <v>174</v>
      </c>
      <c r="F221" s="157" t="s">
        <v>52</v>
      </c>
      <c r="G221" s="93">
        <v>9000</v>
      </c>
      <c r="H221" s="94" t="s">
        <v>25</v>
      </c>
      <c r="I221" s="147" t="s">
        <v>18</v>
      </c>
      <c r="J221" s="135">
        <v>132</v>
      </c>
      <c r="K221" s="135">
        <v>2051</v>
      </c>
      <c r="L221" s="109">
        <v>331.1</v>
      </c>
      <c r="M221" s="110"/>
      <c r="N221" s="111">
        <f>G221*L221</f>
        <v>2979900</v>
      </c>
      <c r="O221" s="99" t="s">
        <v>480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 spans="1:25" s="9" customFormat="1" ht="23.4" customHeight="1" x14ac:dyDescent="0.25">
      <c r="A222" s="155"/>
      <c r="B222" s="158"/>
      <c r="C222" s="158"/>
      <c r="D222" s="163"/>
      <c r="E222" s="163"/>
      <c r="F222" s="158"/>
      <c r="G222" s="93">
        <v>9000</v>
      </c>
      <c r="H222" s="94" t="s">
        <v>25</v>
      </c>
      <c r="I222" s="171"/>
      <c r="J222" s="166"/>
      <c r="K222" s="166"/>
      <c r="L222" s="109">
        <v>332.2</v>
      </c>
      <c r="M222" s="110"/>
      <c r="N222" s="111">
        <f>G222*L222</f>
        <v>2989800</v>
      </c>
      <c r="O222" s="99" t="s">
        <v>483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 spans="1:25" s="9" customFormat="1" ht="26.4" customHeight="1" x14ac:dyDescent="0.25">
      <c r="A223" s="155"/>
      <c r="B223" s="158"/>
      <c r="C223" s="158"/>
      <c r="D223" s="163"/>
      <c r="E223" s="163"/>
      <c r="F223" s="158"/>
      <c r="G223" s="93">
        <v>2000</v>
      </c>
      <c r="H223" s="94" t="s">
        <v>41</v>
      </c>
      <c r="I223" s="148"/>
      <c r="J223" s="166"/>
      <c r="K223" s="166"/>
      <c r="L223" s="109">
        <v>333.5</v>
      </c>
      <c r="M223" s="110"/>
      <c r="N223" s="111">
        <f>G223*L223</f>
        <v>667000</v>
      </c>
      <c r="O223" s="99" t="s">
        <v>486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 spans="1:25" s="9" customFormat="1" ht="24.6" customHeight="1" x14ac:dyDescent="0.25">
      <c r="A224" s="155"/>
      <c r="B224" s="158"/>
      <c r="C224" s="158"/>
      <c r="D224" s="163"/>
      <c r="E224" s="163"/>
      <c r="F224" s="158"/>
      <c r="G224" s="93">
        <v>7000</v>
      </c>
      <c r="H224" s="94" t="s">
        <v>40</v>
      </c>
      <c r="I224" s="147" t="s">
        <v>65</v>
      </c>
      <c r="J224" s="166"/>
      <c r="K224" s="166"/>
      <c r="L224" s="109">
        <v>332.9</v>
      </c>
      <c r="M224" s="110"/>
      <c r="N224" s="111">
        <f>G224*L224</f>
        <v>2330300</v>
      </c>
      <c r="O224" s="99" t="s">
        <v>486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 spans="1:25" s="9" customFormat="1" ht="25.2" customHeight="1" x14ac:dyDescent="0.25">
      <c r="A225" s="156"/>
      <c r="B225" s="159"/>
      <c r="C225" s="159"/>
      <c r="D225" s="159"/>
      <c r="E225" s="159"/>
      <c r="F225" s="159"/>
      <c r="G225" s="93">
        <v>8000</v>
      </c>
      <c r="H225" s="94" t="s">
        <v>74</v>
      </c>
      <c r="I225" s="153"/>
      <c r="J225" s="149"/>
      <c r="K225" s="149"/>
      <c r="L225" s="109">
        <v>340.2</v>
      </c>
      <c r="M225" s="110"/>
      <c r="N225" s="111">
        <f>G225*L225</f>
        <v>2721600</v>
      </c>
      <c r="O225" s="99" t="s">
        <v>490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 s="9" customFormat="1" ht="37.950000000000003" customHeight="1" x14ac:dyDescent="0.25">
      <c r="A226" s="154">
        <v>1466</v>
      </c>
      <c r="B226" s="157" t="s">
        <v>484</v>
      </c>
      <c r="C226" s="157">
        <v>2015</v>
      </c>
      <c r="D226" s="160" t="s">
        <v>485</v>
      </c>
      <c r="E226" s="162">
        <v>2016</v>
      </c>
      <c r="F226" s="157" t="s">
        <v>478</v>
      </c>
      <c r="G226" s="93">
        <f>N226/L226</f>
        <v>4992.0010768811335</v>
      </c>
      <c r="H226" s="94" t="s">
        <v>565</v>
      </c>
      <c r="I226" s="147" t="s">
        <v>65</v>
      </c>
      <c r="J226" s="135">
        <v>133</v>
      </c>
      <c r="K226" s="135">
        <v>2052</v>
      </c>
      <c r="L226" s="109">
        <v>330.12</v>
      </c>
      <c r="M226" s="110">
        <v>5.4218999999999999</v>
      </c>
      <c r="N226" s="111">
        <f>303945*M226</f>
        <v>1647959.3954999999</v>
      </c>
      <c r="O226" s="99" t="s">
        <v>483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 spans="1:25" s="9" customFormat="1" ht="35.4" customHeight="1" x14ac:dyDescent="0.25">
      <c r="A227" s="168"/>
      <c r="B227" s="169"/>
      <c r="C227" s="169"/>
      <c r="D227" s="159"/>
      <c r="E227" s="159"/>
      <c r="F227" s="169"/>
      <c r="G227" s="93">
        <f>N227/L227</f>
        <v>3255.570988586267</v>
      </c>
      <c r="H227" s="94" t="s">
        <v>482</v>
      </c>
      <c r="I227" s="153"/>
      <c r="J227" s="136"/>
      <c r="K227" s="136"/>
      <c r="L227" s="109">
        <v>331.18</v>
      </c>
      <c r="M227" s="110">
        <v>5.3909000000000002</v>
      </c>
      <c r="N227" s="111">
        <f>200000*M227</f>
        <v>1078180</v>
      </c>
      <c r="O227" s="99" t="s">
        <v>486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 spans="1:25" s="9" customFormat="1" ht="59.4" customHeight="1" x14ac:dyDescent="0.25">
      <c r="A228" s="106">
        <v>1467</v>
      </c>
      <c r="B228" s="100" t="s">
        <v>487</v>
      </c>
      <c r="C228" s="100">
        <v>2011</v>
      </c>
      <c r="D228" s="104" t="s">
        <v>488</v>
      </c>
      <c r="E228" s="116">
        <v>2016</v>
      </c>
      <c r="F228" s="92" t="s">
        <v>619</v>
      </c>
      <c r="G228" s="93">
        <f>N228/L228</f>
        <v>3257.8054230327916</v>
      </c>
      <c r="H228" s="94" t="s">
        <v>482</v>
      </c>
      <c r="I228" s="103" t="s">
        <v>65</v>
      </c>
      <c r="J228" s="109">
        <v>134</v>
      </c>
      <c r="K228" s="109">
        <v>2053</v>
      </c>
      <c r="L228" s="109">
        <v>331.18</v>
      </c>
      <c r="M228" s="110">
        <v>5.3945999999999996</v>
      </c>
      <c r="N228" s="111">
        <f>200000*M228</f>
        <v>1078920</v>
      </c>
      <c r="O228" s="99" t="s">
        <v>486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 spans="1:25" s="9" customFormat="1" ht="70.95" customHeight="1" x14ac:dyDescent="0.25">
      <c r="A229" s="106"/>
      <c r="B229" s="100" t="s">
        <v>63</v>
      </c>
      <c r="C229" s="100">
        <v>2010</v>
      </c>
      <c r="D229" s="123" t="s">
        <v>19</v>
      </c>
      <c r="E229" s="116" t="s">
        <v>174</v>
      </c>
      <c r="F229" s="92" t="s">
        <v>292</v>
      </c>
      <c r="G229" s="93">
        <v>418</v>
      </c>
      <c r="H229" s="94" t="s">
        <v>489</v>
      </c>
      <c r="I229" s="103" t="s">
        <v>318</v>
      </c>
      <c r="J229" s="109">
        <v>135</v>
      </c>
      <c r="K229" s="109">
        <v>2054</v>
      </c>
      <c r="L229" s="109">
        <v>331.39</v>
      </c>
      <c r="M229" s="110"/>
      <c r="N229" s="111">
        <f>G229*L229</f>
        <v>138521.01999999999</v>
      </c>
      <c r="O229" s="99" t="s">
        <v>486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 spans="1:25" s="9" customFormat="1" ht="27.6" customHeight="1" x14ac:dyDescent="0.25">
      <c r="A230" s="154"/>
      <c r="B230" s="157" t="s">
        <v>82</v>
      </c>
      <c r="C230" s="157">
        <v>2013</v>
      </c>
      <c r="D230" s="160" t="s">
        <v>145</v>
      </c>
      <c r="E230" s="157" t="s">
        <v>175</v>
      </c>
      <c r="F230" s="157" t="s">
        <v>130</v>
      </c>
      <c r="G230" s="93">
        <f t="shared" ref="G230:G236" si="9">N230/L230</f>
        <v>4846.0793236062591</v>
      </c>
      <c r="H230" s="94" t="s">
        <v>491</v>
      </c>
      <c r="I230" s="147" t="s">
        <v>65</v>
      </c>
      <c r="J230" s="135">
        <v>136</v>
      </c>
      <c r="K230" s="135">
        <v>2055</v>
      </c>
      <c r="L230" s="109">
        <v>340.63</v>
      </c>
      <c r="M230" s="110">
        <v>275.12</v>
      </c>
      <c r="N230" s="111">
        <f>6000*M230</f>
        <v>1650720</v>
      </c>
      <c r="O230" s="99" t="s">
        <v>492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 spans="1:25" s="9" customFormat="1" ht="33" customHeight="1" x14ac:dyDescent="0.25">
      <c r="A231" s="168"/>
      <c r="B231" s="169"/>
      <c r="C231" s="169"/>
      <c r="D231" s="170"/>
      <c r="E231" s="159"/>
      <c r="F231" s="159"/>
      <c r="G231" s="93">
        <f t="shared" si="9"/>
        <v>3246.649152542373</v>
      </c>
      <c r="H231" s="94" t="s">
        <v>493</v>
      </c>
      <c r="I231" s="153"/>
      <c r="J231" s="136"/>
      <c r="K231" s="136"/>
      <c r="L231" s="109">
        <v>344.56</v>
      </c>
      <c r="M231" s="110">
        <v>275.12</v>
      </c>
      <c r="N231" s="111">
        <f>4066.1*M231</f>
        <v>1118665.432</v>
      </c>
      <c r="O231" s="99" t="s">
        <v>494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 spans="1:25" s="9" customFormat="1" ht="153.6" customHeight="1" x14ac:dyDescent="0.25">
      <c r="A232" s="106"/>
      <c r="B232" s="100" t="s">
        <v>366</v>
      </c>
      <c r="C232" s="100">
        <v>2013</v>
      </c>
      <c r="D232" s="105" t="s">
        <v>612</v>
      </c>
      <c r="E232" s="116" t="s">
        <v>222</v>
      </c>
      <c r="F232" s="100" t="s">
        <v>130</v>
      </c>
      <c r="G232" s="93">
        <f t="shared" si="9"/>
        <v>4469.2320418048912</v>
      </c>
      <c r="H232" s="94" t="s">
        <v>495</v>
      </c>
      <c r="I232" s="103" t="s">
        <v>65</v>
      </c>
      <c r="J232" s="109">
        <v>137</v>
      </c>
      <c r="K232" s="109">
        <v>2056</v>
      </c>
      <c r="L232" s="109">
        <v>340.63</v>
      </c>
      <c r="M232" s="110">
        <v>275.12</v>
      </c>
      <c r="N232" s="111">
        <f>5533.42*M232</f>
        <v>1522354.5104</v>
      </c>
      <c r="O232" s="99" t="s">
        <v>492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25" s="77" customFormat="1" ht="73.95" customHeight="1" x14ac:dyDescent="0.25">
      <c r="A233" s="106"/>
      <c r="B233" s="100" t="s">
        <v>149</v>
      </c>
      <c r="C233" s="100">
        <v>2015</v>
      </c>
      <c r="D233" s="104" t="s">
        <v>150</v>
      </c>
      <c r="E233" s="116" t="s">
        <v>189</v>
      </c>
      <c r="F233" s="100" t="s">
        <v>151</v>
      </c>
      <c r="G233" s="93">
        <f t="shared" si="9"/>
        <v>1882.6368903993502</v>
      </c>
      <c r="H233" s="94" t="s">
        <v>496</v>
      </c>
      <c r="I233" s="103" t="s">
        <v>18</v>
      </c>
      <c r="J233" s="109">
        <v>138</v>
      </c>
      <c r="K233" s="109">
        <v>2057</v>
      </c>
      <c r="L233" s="109">
        <v>344.56</v>
      </c>
      <c r="M233" s="110">
        <v>5.3837000000000002</v>
      </c>
      <c r="N233" s="111">
        <f>120489.88*M233</f>
        <v>648681.3669560001</v>
      </c>
      <c r="O233" s="99" t="s">
        <v>494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25" s="9" customFormat="1" ht="30.6" customHeight="1" x14ac:dyDescent="0.25">
      <c r="A234" s="154">
        <v>1468</v>
      </c>
      <c r="B234" s="157" t="s">
        <v>497</v>
      </c>
      <c r="C234" s="157">
        <v>2011</v>
      </c>
      <c r="D234" s="160" t="s">
        <v>498</v>
      </c>
      <c r="E234" s="162">
        <v>2016</v>
      </c>
      <c r="F234" s="157" t="s">
        <v>478</v>
      </c>
      <c r="G234" s="93">
        <f t="shared" si="9"/>
        <v>4740.2537365922281</v>
      </c>
      <c r="H234" s="94" t="s">
        <v>587</v>
      </c>
      <c r="I234" s="152" t="s">
        <v>65</v>
      </c>
      <c r="J234" s="135">
        <v>139</v>
      </c>
      <c r="K234" s="135">
        <v>2058</v>
      </c>
      <c r="L234" s="109">
        <v>341.22</v>
      </c>
      <c r="M234" s="110">
        <v>5.3532000000000002</v>
      </c>
      <c r="N234" s="111">
        <f>302150*M234</f>
        <v>1617469.3800000001</v>
      </c>
      <c r="O234" s="99" t="s">
        <v>499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25" s="9" customFormat="1" ht="34.200000000000003" customHeight="1" x14ac:dyDescent="0.25">
      <c r="A235" s="168"/>
      <c r="B235" s="169"/>
      <c r="C235" s="169"/>
      <c r="D235" s="170"/>
      <c r="E235" s="159"/>
      <c r="F235" s="159"/>
      <c r="G235" s="93">
        <f t="shared" si="9"/>
        <v>3135.837218166359</v>
      </c>
      <c r="H235" s="94" t="s">
        <v>482</v>
      </c>
      <c r="I235" s="148"/>
      <c r="J235" s="136"/>
      <c r="K235" s="136"/>
      <c r="L235" s="109">
        <v>341.07</v>
      </c>
      <c r="M235" s="110">
        <v>5.3476999999999997</v>
      </c>
      <c r="N235" s="111">
        <f>200000*M235</f>
        <v>1069540</v>
      </c>
      <c r="O235" s="99" t="s">
        <v>504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 spans="1:25" s="9" customFormat="1" ht="48.6" customHeight="1" x14ac:dyDescent="0.25">
      <c r="A236" s="106">
        <v>1469</v>
      </c>
      <c r="B236" s="100" t="s">
        <v>500</v>
      </c>
      <c r="C236" s="100">
        <v>2005</v>
      </c>
      <c r="D236" s="104" t="s">
        <v>501</v>
      </c>
      <c r="E236" s="116">
        <v>2016</v>
      </c>
      <c r="F236" s="100" t="s">
        <v>502</v>
      </c>
      <c r="G236" s="93">
        <f t="shared" si="9"/>
        <v>372.60053654674994</v>
      </c>
      <c r="H236" s="94" t="s">
        <v>503</v>
      </c>
      <c r="I236" s="124" t="s">
        <v>65</v>
      </c>
      <c r="J236" s="109">
        <v>140</v>
      </c>
      <c r="K236" s="109">
        <v>2059</v>
      </c>
      <c r="L236" s="109">
        <v>341.07</v>
      </c>
      <c r="M236" s="110">
        <v>5.3963000000000001</v>
      </c>
      <c r="N236" s="111">
        <f>23550*M236</f>
        <v>127082.86500000001</v>
      </c>
      <c r="O236" s="99" t="s">
        <v>504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5" s="9" customFormat="1" ht="48" customHeight="1" x14ac:dyDescent="0.25">
      <c r="A237" s="106">
        <v>1470</v>
      </c>
      <c r="B237" s="100" t="s">
        <v>505</v>
      </c>
      <c r="C237" s="100">
        <v>2013</v>
      </c>
      <c r="D237" s="104" t="s">
        <v>506</v>
      </c>
      <c r="E237" s="116">
        <v>2016</v>
      </c>
      <c r="F237" s="100" t="s">
        <v>507</v>
      </c>
      <c r="G237" s="93">
        <v>5096</v>
      </c>
      <c r="H237" s="94" t="s">
        <v>558</v>
      </c>
      <c r="I237" s="124" t="s">
        <v>65</v>
      </c>
      <c r="J237" s="109">
        <v>141</v>
      </c>
      <c r="K237" s="109">
        <v>2060</v>
      </c>
      <c r="L237" s="109">
        <v>340.2</v>
      </c>
      <c r="M237" s="110"/>
      <c r="N237" s="111">
        <f>G237*L237</f>
        <v>1733659.2</v>
      </c>
      <c r="O237" s="99" t="s">
        <v>504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25" s="9" customFormat="1" ht="114" customHeight="1" x14ac:dyDescent="0.25">
      <c r="A238" s="106">
        <v>1471</v>
      </c>
      <c r="B238" s="100" t="s">
        <v>28</v>
      </c>
      <c r="C238" s="100">
        <v>2011</v>
      </c>
      <c r="D238" s="104" t="s">
        <v>508</v>
      </c>
      <c r="E238" s="116" t="s">
        <v>259</v>
      </c>
      <c r="F238" s="92" t="s">
        <v>52</v>
      </c>
      <c r="G238" s="93">
        <v>10000</v>
      </c>
      <c r="H238" s="94" t="s">
        <v>509</v>
      </c>
      <c r="I238" s="95" t="s">
        <v>620</v>
      </c>
      <c r="J238" s="109">
        <v>142</v>
      </c>
      <c r="K238" s="109">
        <v>2061</v>
      </c>
      <c r="L238" s="109">
        <v>340.2</v>
      </c>
      <c r="M238" s="110"/>
      <c r="N238" s="111">
        <f>G238*L238</f>
        <v>3402000</v>
      </c>
      <c r="O238" s="99" t="s">
        <v>504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25" s="9" customFormat="1" ht="127.2" customHeight="1" x14ac:dyDescent="0.25">
      <c r="A239" s="106">
        <v>1472</v>
      </c>
      <c r="B239" s="100" t="s">
        <v>510</v>
      </c>
      <c r="C239" s="100">
        <v>2012</v>
      </c>
      <c r="D239" s="104" t="s">
        <v>511</v>
      </c>
      <c r="E239" s="116">
        <v>2016</v>
      </c>
      <c r="F239" s="92" t="s">
        <v>113</v>
      </c>
      <c r="G239" s="93">
        <v>2000</v>
      </c>
      <c r="H239" s="94" t="s">
        <v>41</v>
      </c>
      <c r="I239" s="124" t="s">
        <v>65</v>
      </c>
      <c r="J239" s="109">
        <v>143</v>
      </c>
      <c r="K239" s="109">
        <v>2062</v>
      </c>
      <c r="L239" s="109">
        <v>340.2</v>
      </c>
      <c r="M239" s="110"/>
      <c r="N239" s="111">
        <f>G239*L239</f>
        <v>680400</v>
      </c>
      <c r="O239" s="99" t="s">
        <v>504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 spans="1:25" s="77" customFormat="1" ht="61.2" customHeight="1" x14ac:dyDescent="0.25">
      <c r="A240" s="106"/>
      <c r="B240" s="100" t="s">
        <v>123</v>
      </c>
      <c r="C240" s="100">
        <v>2013</v>
      </c>
      <c r="D240" s="104" t="s">
        <v>124</v>
      </c>
      <c r="E240" s="116" t="s">
        <v>515</v>
      </c>
      <c r="F240" s="100" t="s">
        <v>512</v>
      </c>
      <c r="G240" s="93">
        <f>N240/L240</f>
        <v>10092.868435664233</v>
      </c>
      <c r="H240" s="94" t="s">
        <v>589</v>
      </c>
      <c r="I240" s="124" t="s">
        <v>65</v>
      </c>
      <c r="J240" s="109">
        <v>144</v>
      </c>
      <c r="K240" s="109">
        <v>2063</v>
      </c>
      <c r="L240" s="109">
        <v>341.07</v>
      </c>
      <c r="M240" s="110">
        <v>5.3566000000000003</v>
      </c>
      <c r="N240" s="111">
        <f>642641.72*M240</f>
        <v>3442374.637352</v>
      </c>
      <c r="O240" s="99" t="s">
        <v>504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 spans="1:25" s="9" customFormat="1" ht="45" customHeight="1" x14ac:dyDescent="0.25">
      <c r="A241" s="106"/>
      <c r="B241" s="100" t="s">
        <v>453</v>
      </c>
      <c r="C241" s="100">
        <v>2015</v>
      </c>
      <c r="D241" s="104" t="s">
        <v>336</v>
      </c>
      <c r="E241" s="116" t="s">
        <v>222</v>
      </c>
      <c r="F241" s="100" t="s">
        <v>454</v>
      </c>
      <c r="G241" s="93">
        <f>N241/L241</f>
        <v>2074.8973291999523</v>
      </c>
      <c r="H241" s="94" t="s">
        <v>514</v>
      </c>
      <c r="I241" s="124" t="s">
        <v>65</v>
      </c>
      <c r="J241" s="109">
        <v>145</v>
      </c>
      <c r="K241" s="109">
        <v>2064</v>
      </c>
      <c r="L241" s="109">
        <v>335.48</v>
      </c>
      <c r="M241" s="110">
        <v>5.3108000000000004</v>
      </c>
      <c r="N241" s="111">
        <f>131070*M241</f>
        <v>696086.5560000001</v>
      </c>
      <c r="O241" s="99" t="s">
        <v>513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 spans="1:25" s="9" customFormat="1" ht="58.2" customHeight="1" x14ac:dyDescent="0.25">
      <c r="A242" s="106"/>
      <c r="B242" s="100" t="s">
        <v>345</v>
      </c>
      <c r="C242" s="100">
        <v>2009</v>
      </c>
      <c r="D242" s="104" t="s">
        <v>346</v>
      </c>
      <c r="E242" s="116" t="s">
        <v>222</v>
      </c>
      <c r="F242" s="102" t="s">
        <v>93</v>
      </c>
      <c r="G242" s="93">
        <v>3600</v>
      </c>
      <c r="H242" s="94" t="s">
        <v>177</v>
      </c>
      <c r="I242" s="124" t="s">
        <v>65</v>
      </c>
      <c r="J242" s="109">
        <v>146</v>
      </c>
      <c r="K242" s="109">
        <v>2065</v>
      </c>
      <c r="L242" s="109">
        <v>340.2</v>
      </c>
      <c r="M242" s="110"/>
      <c r="N242" s="111">
        <f>G242*L242</f>
        <v>1224720</v>
      </c>
      <c r="O242" s="99" t="s">
        <v>513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 spans="1:25" s="9" customFormat="1" ht="128.4" customHeight="1" x14ac:dyDescent="0.25">
      <c r="A243" s="106">
        <v>1473</v>
      </c>
      <c r="B243" s="100" t="s">
        <v>516</v>
      </c>
      <c r="C243" s="100">
        <v>1999</v>
      </c>
      <c r="D243" s="104" t="s">
        <v>517</v>
      </c>
      <c r="E243" s="116">
        <v>2016</v>
      </c>
      <c r="F243" s="100" t="s">
        <v>518</v>
      </c>
      <c r="G243" s="93">
        <f>N243/L243</f>
        <v>951.65468140248447</v>
      </c>
      <c r="H243" s="94" t="s">
        <v>519</v>
      </c>
      <c r="I243" s="124" t="s">
        <v>65</v>
      </c>
      <c r="J243" s="109">
        <v>147</v>
      </c>
      <c r="K243" s="109">
        <v>2066</v>
      </c>
      <c r="L243" s="109">
        <v>335.69</v>
      </c>
      <c r="M243" s="110">
        <v>5.3963000000000001</v>
      </c>
      <c r="N243" s="111">
        <f>59200*M243</f>
        <v>319460.96000000002</v>
      </c>
      <c r="O243" s="99" t="s">
        <v>520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 spans="1:25" s="30" customFormat="1" ht="38.25" customHeight="1" x14ac:dyDescent="0.25">
      <c r="A244" s="154">
        <v>1474</v>
      </c>
      <c r="B244" s="157" t="s">
        <v>522</v>
      </c>
      <c r="C244" s="157">
        <v>2015</v>
      </c>
      <c r="D244" s="160" t="s">
        <v>521</v>
      </c>
      <c r="E244" s="162">
        <v>2016</v>
      </c>
      <c r="F244" s="157" t="s">
        <v>113</v>
      </c>
      <c r="G244" s="143">
        <v>966</v>
      </c>
      <c r="H244" s="145" t="s">
        <v>595</v>
      </c>
      <c r="I244" s="147" t="s">
        <v>18</v>
      </c>
      <c r="J244" s="135">
        <v>148</v>
      </c>
      <c r="K244" s="135">
        <v>2067</v>
      </c>
      <c r="L244" s="135">
        <v>341.02</v>
      </c>
      <c r="M244" s="141"/>
      <c r="N244" s="137">
        <f>G244*L244</f>
        <v>329425.32</v>
      </c>
      <c r="O244" s="139" t="s">
        <v>523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 spans="1:25" s="30" customFormat="1" ht="75" customHeight="1" x14ac:dyDescent="0.25">
      <c r="A245" s="168"/>
      <c r="B245" s="169"/>
      <c r="C245" s="169"/>
      <c r="D245" s="159"/>
      <c r="E245" s="159"/>
      <c r="F245" s="159"/>
      <c r="G245" s="144"/>
      <c r="H245" s="146"/>
      <c r="I245" s="148"/>
      <c r="J245" s="136"/>
      <c r="K245" s="136"/>
      <c r="L245" s="149"/>
      <c r="M245" s="150"/>
      <c r="N245" s="150"/>
      <c r="O245" s="151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 spans="1:25" s="9" customFormat="1" ht="35.4" customHeight="1" x14ac:dyDescent="0.25">
      <c r="A246" s="154"/>
      <c r="B246" s="157" t="s">
        <v>270</v>
      </c>
      <c r="C246" s="157">
        <v>2014</v>
      </c>
      <c r="D246" s="160" t="s">
        <v>271</v>
      </c>
      <c r="E246" s="162" t="s">
        <v>175</v>
      </c>
      <c r="F246" s="157" t="s">
        <v>512</v>
      </c>
      <c r="G246" s="93">
        <f>N246/L246</f>
        <v>7917.776593855443</v>
      </c>
      <c r="H246" s="94" t="s">
        <v>479</v>
      </c>
      <c r="I246" s="147" t="s">
        <v>65</v>
      </c>
      <c r="J246" s="135">
        <v>149</v>
      </c>
      <c r="K246" s="135">
        <v>2068</v>
      </c>
      <c r="L246" s="109">
        <v>337.86</v>
      </c>
      <c r="M246" s="110">
        <v>5.3502000000000001</v>
      </c>
      <c r="N246" s="111">
        <f>500000*M246</f>
        <v>2675100</v>
      </c>
      <c r="O246" s="99" t="s">
        <v>523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 spans="1:25" s="9" customFormat="1" ht="31.2" customHeight="1" x14ac:dyDescent="0.25">
      <c r="A247" s="168"/>
      <c r="B247" s="169"/>
      <c r="C247" s="169"/>
      <c r="D247" s="170"/>
      <c r="E247" s="159"/>
      <c r="F247" s="169"/>
      <c r="G247" s="93">
        <f>N247/L247</f>
        <v>4542.3433309403472</v>
      </c>
      <c r="H247" s="94" t="s">
        <v>530</v>
      </c>
      <c r="I247" s="153"/>
      <c r="J247" s="136"/>
      <c r="K247" s="136"/>
      <c r="L247" s="109">
        <v>340.3</v>
      </c>
      <c r="M247" s="110">
        <v>5.3468999999999998</v>
      </c>
      <c r="N247" s="111">
        <f>289094.51*M247</f>
        <v>1545759.435519</v>
      </c>
      <c r="O247" s="99" t="s">
        <v>531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 spans="1:25" s="9" customFormat="1" ht="47.4" customHeight="1" x14ac:dyDescent="0.25">
      <c r="A248" s="106"/>
      <c r="B248" s="100" t="s">
        <v>500</v>
      </c>
      <c r="C248" s="100">
        <v>2005</v>
      </c>
      <c r="D248" s="104" t="s">
        <v>501</v>
      </c>
      <c r="E248" s="116" t="s">
        <v>222</v>
      </c>
      <c r="F248" s="100" t="s">
        <v>524</v>
      </c>
      <c r="G248" s="93">
        <f>N248/L248</f>
        <v>1437.852956846031</v>
      </c>
      <c r="H248" s="94" t="s">
        <v>525</v>
      </c>
      <c r="I248" s="95" t="s">
        <v>65</v>
      </c>
      <c r="J248" s="109">
        <v>150</v>
      </c>
      <c r="K248" s="109">
        <v>2069</v>
      </c>
      <c r="L248" s="109">
        <v>337.86</v>
      </c>
      <c r="M248" s="110">
        <v>5.3977000000000004</v>
      </c>
      <c r="N248" s="111">
        <f>90000*M248</f>
        <v>485793.00000000006</v>
      </c>
      <c r="O248" s="99" t="s">
        <v>523</v>
      </c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 spans="1:25" s="9" customFormat="1" ht="114.6" customHeight="1" x14ac:dyDescent="0.25">
      <c r="A249" s="106"/>
      <c r="B249" s="100" t="s">
        <v>28</v>
      </c>
      <c r="C249" s="100">
        <v>2011</v>
      </c>
      <c r="D249" s="104" t="s">
        <v>508</v>
      </c>
      <c r="E249" s="116" t="s">
        <v>202</v>
      </c>
      <c r="F249" s="92" t="s">
        <v>52</v>
      </c>
      <c r="G249" s="93">
        <v>2500</v>
      </c>
      <c r="H249" s="94" t="s">
        <v>51</v>
      </c>
      <c r="I249" s="95" t="s">
        <v>65</v>
      </c>
      <c r="J249" s="109"/>
      <c r="K249" s="109"/>
      <c r="L249" s="109">
        <v>340.2</v>
      </c>
      <c r="M249" s="110"/>
      <c r="N249" s="111">
        <f t="shared" ref="N249:N254" si="10">G249*L249</f>
        <v>850500</v>
      </c>
      <c r="O249" s="99" t="s">
        <v>526</v>
      </c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 spans="1:25" s="9" customFormat="1" ht="46.95" customHeight="1" x14ac:dyDescent="0.25">
      <c r="A250" s="106"/>
      <c r="B250" s="100" t="s">
        <v>372</v>
      </c>
      <c r="C250" s="100">
        <v>2013</v>
      </c>
      <c r="D250" s="105" t="s">
        <v>527</v>
      </c>
      <c r="E250" s="116" t="s">
        <v>528</v>
      </c>
      <c r="F250" s="92" t="s">
        <v>113</v>
      </c>
      <c r="G250" s="93">
        <v>20000</v>
      </c>
      <c r="H250" s="94" t="s">
        <v>529</v>
      </c>
      <c r="I250" s="95" t="s">
        <v>65</v>
      </c>
      <c r="J250" s="109">
        <v>151</v>
      </c>
      <c r="K250" s="109">
        <v>2070</v>
      </c>
      <c r="L250" s="109">
        <v>340.2</v>
      </c>
      <c r="M250" s="110"/>
      <c r="N250" s="111">
        <f t="shared" si="10"/>
        <v>6804000</v>
      </c>
      <c r="O250" s="99" t="s">
        <v>526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 spans="1:25" s="9" customFormat="1" ht="35.4" customHeight="1" x14ac:dyDescent="0.25">
      <c r="A251" s="154"/>
      <c r="B251" s="157" t="s">
        <v>416</v>
      </c>
      <c r="C251" s="157">
        <v>2011</v>
      </c>
      <c r="D251" s="160" t="s">
        <v>417</v>
      </c>
      <c r="E251" s="162" t="s">
        <v>175</v>
      </c>
      <c r="F251" s="157" t="s">
        <v>52</v>
      </c>
      <c r="G251" s="93">
        <v>5000</v>
      </c>
      <c r="H251" s="94" t="s">
        <v>49</v>
      </c>
      <c r="I251" s="103" t="s">
        <v>18</v>
      </c>
      <c r="J251" s="135">
        <v>152</v>
      </c>
      <c r="K251" s="135">
        <v>2071</v>
      </c>
      <c r="L251" s="109">
        <v>343.12</v>
      </c>
      <c r="M251" s="110"/>
      <c r="N251" s="111">
        <f t="shared" si="10"/>
        <v>1715600</v>
      </c>
      <c r="O251" s="99" t="s">
        <v>526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 spans="1:25" s="9" customFormat="1" ht="26.25" customHeight="1" x14ac:dyDescent="0.25">
      <c r="A252" s="156"/>
      <c r="B252" s="159"/>
      <c r="C252" s="159"/>
      <c r="D252" s="170"/>
      <c r="E252" s="159"/>
      <c r="F252" s="159"/>
      <c r="G252" s="93">
        <v>7800</v>
      </c>
      <c r="H252" s="94" t="s">
        <v>312</v>
      </c>
      <c r="I252" s="95" t="s">
        <v>65</v>
      </c>
      <c r="J252" s="136"/>
      <c r="K252" s="136"/>
      <c r="L252" s="109">
        <v>340.2</v>
      </c>
      <c r="M252" s="110"/>
      <c r="N252" s="111">
        <f t="shared" si="10"/>
        <v>2653560</v>
      </c>
      <c r="O252" s="99" t="s">
        <v>532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 spans="1:25" s="9" customFormat="1" ht="29.4" customHeight="1" x14ac:dyDescent="0.25">
      <c r="A253" s="154">
        <v>1475</v>
      </c>
      <c r="B253" s="157" t="s">
        <v>533</v>
      </c>
      <c r="C253" s="157">
        <v>2014</v>
      </c>
      <c r="D253" s="160" t="s">
        <v>153</v>
      </c>
      <c r="E253" s="162">
        <v>2016</v>
      </c>
      <c r="F253" s="157" t="s">
        <v>113</v>
      </c>
      <c r="G253" s="93">
        <v>20000</v>
      </c>
      <c r="H253" s="94" t="s">
        <v>529</v>
      </c>
      <c r="I253" s="95" t="s">
        <v>65</v>
      </c>
      <c r="J253" s="135">
        <v>153</v>
      </c>
      <c r="K253" s="135">
        <v>2072</v>
      </c>
      <c r="L253" s="109">
        <v>340.2</v>
      </c>
      <c r="M253" s="110"/>
      <c r="N253" s="111">
        <f t="shared" si="10"/>
        <v>6804000</v>
      </c>
      <c r="O253" s="99" t="s">
        <v>532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 spans="1:25" s="9" customFormat="1" ht="36" customHeight="1" x14ac:dyDescent="0.25">
      <c r="A254" s="168"/>
      <c r="B254" s="169"/>
      <c r="C254" s="169"/>
      <c r="D254" s="159"/>
      <c r="E254" s="159"/>
      <c r="F254" s="159"/>
      <c r="G254" s="93">
        <v>5000</v>
      </c>
      <c r="H254" s="94" t="s">
        <v>49</v>
      </c>
      <c r="I254" s="103" t="s">
        <v>18</v>
      </c>
      <c r="J254" s="136"/>
      <c r="K254" s="136"/>
      <c r="L254" s="109">
        <v>335.8</v>
      </c>
      <c r="M254" s="110"/>
      <c r="N254" s="111">
        <f t="shared" si="10"/>
        <v>1679000</v>
      </c>
      <c r="O254" s="99" t="s">
        <v>532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 spans="1:25" s="9" customFormat="1" ht="35.4" customHeight="1" x14ac:dyDescent="0.25">
      <c r="A255" s="106"/>
      <c r="B255" s="100" t="s">
        <v>57</v>
      </c>
      <c r="C255" s="100">
        <v>2010</v>
      </c>
      <c r="D255" s="104" t="s">
        <v>19</v>
      </c>
      <c r="E255" s="100" t="s">
        <v>534</v>
      </c>
      <c r="F255" s="100" t="s">
        <v>143</v>
      </c>
      <c r="G255" s="93">
        <f>N255/L255</f>
        <v>3829.1589930638602</v>
      </c>
      <c r="H255" s="94" t="s">
        <v>535</v>
      </c>
      <c r="I255" s="95" t="s">
        <v>65</v>
      </c>
      <c r="J255" s="109">
        <v>154</v>
      </c>
      <c r="K255" s="109">
        <v>2073</v>
      </c>
      <c r="L255" s="109">
        <v>334.48</v>
      </c>
      <c r="M255" s="110">
        <v>5.3589000000000002</v>
      </c>
      <c r="N255" s="111">
        <f>239000*M255</f>
        <v>1280777.1000000001</v>
      </c>
      <c r="O255" s="99" t="s">
        <v>536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 spans="1:25" s="9" customFormat="1" ht="88.2" customHeight="1" x14ac:dyDescent="0.25">
      <c r="A256" s="106"/>
      <c r="B256" s="100" t="s">
        <v>374</v>
      </c>
      <c r="C256" s="100">
        <v>2010</v>
      </c>
      <c r="D256" s="104" t="s">
        <v>31</v>
      </c>
      <c r="E256" s="116" t="s">
        <v>537</v>
      </c>
      <c r="F256" s="102" t="s">
        <v>375</v>
      </c>
      <c r="G256" s="93">
        <v>750</v>
      </c>
      <c r="H256" s="94" t="s">
        <v>538</v>
      </c>
      <c r="I256" s="95" t="s">
        <v>65</v>
      </c>
      <c r="J256" s="109"/>
      <c r="K256" s="109"/>
      <c r="L256" s="109">
        <v>340.2</v>
      </c>
      <c r="M256" s="110"/>
      <c r="N256" s="111">
        <f>G256*L256</f>
        <v>255150</v>
      </c>
      <c r="O256" s="99" t="s">
        <v>539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 spans="1:25" s="9" customFormat="1" ht="47.4" customHeight="1" x14ac:dyDescent="0.25">
      <c r="A257" s="106"/>
      <c r="B257" s="100" t="s">
        <v>372</v>
      </c>
      <c r="C257" s="100">
        <v>2013</v>
      </c>
      <c r="D257" s="105" t="s">
        <v>527</v>
      </c>
      <c r="E257" s="116" t="s">
        <v>202</v>
      </c>
      <c r="F257" s="92" t="s">
        <v>113</v>
      </c>
      <c r="G257" s="93">
        <v>10000</v>
      </c>
      <c r="H257" s="94" t="s">
        <v>509</v>
      </c>
      <c r="I257" s="95" t="s">
        <v>65</v>
      </c>
      <c r="J257" s="109"/>
      <c r="K257" s="109"/>
      <c r="L257" s="109">
        <v>340.2</v>
      </c>
      <c r="M257" s="110"/>
      <c r="N257" s="111">
        <f>G257*L257</f>
        <v>3402000</v>
      </c>
      <c r="O257" s="99" t="s">
        <v>543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 spans="1:25" s="9" customFormat="1" ht="47.4" customHeight="1" x14ac:dyDescent="0.25">
      <c r="A258" s="154">
        <v>1476</v>
      </c>
      <c r="B258" s="157" t="s">
        <v>541</v>
      </c>
      <c r="C258" s="157">
        <v>2007</v>
      </c>
      <c r="D258" s="160" t="s">
        <v>540</v>
      </c>
      <c r="E258" s="162">
        <v>2016</v>
      </c>
      <c r="F258" s="162" t="s">
        <v>93</v>
      </c>
      <c r="G258" s="93">
        <v>7000</v>
      </c>
      <c r="H258" s="94" t="s">
        <v>40</v>
      </c>
      <c r="I258" s="103" t="s">
        <v>18</v>
      </c>
      <c r="J258" s="135">
        <v>155</v>
      </c>
      <c r="K258" s="135">
        <v>2074</v>
      </c>
      <c r="L258" s="109">
        <v>332.9</v>
      </c>
      <c r="M258" s="110"/>
      <c r="N258" s="111">
        <f>G258*L258</f>
        <v>2330300</v>
      </c>
      <c r="O258" s="99" t="s">
        <v>544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 spans="1:25" s="9" customFormat="1" ht="65.400000000000006" customHeight="1" x14ac:dyDescent="0.25">
      <c r="A259" s="168"/>
      <c r="B259" s="169"/>
      <c r="C259" s="169"/>
      <c r="D259" s="159"/>
      <c r="E259" s="159"/>
      <c r="F259" s="159"/>
      <c r="G259" s="93">
        <v>13000</v>
      </c>
      <c r="H259" s="94" t="s">
        <v>542</v>
      </c>
      <c r="I259" s="95" t="s">
        <v>65</v>
      </c>
      <c r="J259" s="136"/>
      <c r="K259" s="136"/>
      <c r="L259" s="109">
        <v>340.2</v>
      </c>
      <c r="M259" s="110"/>
      <c r="N259" s="111">
        <f>G259*L259</f>
        <v>4422600</v>
      </c>
      <c r="O259" s="99" t="s">
        <v>545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 spans="1:25" s="9" customFormat="1" ht="46.2" customHeight="1" x14ac:dyDescent="0.25">
      <c r="A260" s="106">
        <v>1477</v>
      </c>
      <c r="B260" s="100" t="s">
        <v>546</v>
      </c>
      <c r="C260" s="100">
        <v>2014</v>
      </c>
      <c r="D260" s="104" t="s">
        <v>547</v>
      </c>
      <c r="E260" s="116">
        <v>2016</v>
      </c>
      <c r="F260" s="116" t="s">
        <v>420</v>
      </c>
      <c r="G260" s="93">
        <f>N260/L260</f>
        <v>2435.7457670846584</v>
      </c>
      <c r="H260" s="94" t="s">
        <v>548</v>
      </c>
      <c r="I260" s="95" t="s">
        <v>65</v>
      </c>
      <c r="J260" s="109">
        <v>156</v>
      </c>
      <c r="K260" s="109">
        <v>2075</v>
      </c>
      <c r="L260" s="109">
        <v>333.34</v>
      </c>
      <c r="M260" s="110">
        <v>5.6002999999999998</v>
      </c>
      <c r="N260" s="111">
        <f>144980*M260</f>
        <v>811931.49399999995</v>
      </c>
      <c r="O260" s="99" t="s">
        <v>549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 spans="1:25" s="9" customFormat="1" ht="45.6" customHeight="1" x14ac:dyDescent="0.25">
      <c r="A261" s="106"/>
      <c r="B261" s="100" t="s">
        <v>416</v>
      </c>
      <c r="C261" s="100">
        <v>2011</v>
      </c>
      <c r="D261" s="104" t="s">
        <v>417</v>
      </c>
      <c r="E261" s="116" t="s">
        <v>189</v>
      </c>
      <c r="F261" s="92" t="s">
        <v>52</v>
      </c>
      <c r="G261" s="93">
        <v>2200</v>
      </c>
      <c r="H261" s="94" t="s">
        <v>79</v>
      </c>
      <c r="I261" s="103" t="s">
        <v>18</v>
      </c>
      <c r="J261" s="109">
        <v>157</v>
      </c>
      <c r="K261" s="109">
        <v>2076</v>
      </c>
      <c r="L261" s="109">
        <v>334.4</v>
      </c>
      <c r="M261" s="110"/>
      <c r="N261" s="111">
        <f>G261*L261</f>
        <v>735680</v>
      </c>
      <c r="O261" s="99" t="s">
        <v>551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 spans="1:25" s="9" customFormat="1" ht="46.2" customHeight="1" x14ac:dyDescent="0.25">
      <c r="A262" s="106"/>
      <c r="B262" s="116" t="s">
        <v>24</v>
      </c>
      <c r="C262" s="100">
        <v>2012</v>
      </c>
      <c r="D262" s="125" t="s">
        <v>19</v>
      </c>
      <c r="E262" s="116" t="s">
        <v>290</v>
      </c>
      <c r="F262" s="100" t="s">
        <v>48</v>
      </c>
      <c r="G262" s="93">
        <f>N262/L262</f>
        <v>559.70668350320182</v>
      </c>
      <c r="H262" s="94" t="s">
        <v>550</v>
      </c>
      <c r="I262" s="103" t="s">
        <v>318</v>
      </c>
      <c r="J262" s="109">
        <v>158</v>
      </c>
      <c r="K262" s="109">
        <v>2077</v>
      </c>
      <c r="L262" s="109">
        <v>332.61</v>
      </c>
      <c r="M262" s="110">
        <v>5.6327999999999996</v>
      </c>
      <c r="N262" s="111">
        <f>33050*M262</f>
        <v>186164.03999999998</v>
      </c>
      <c r="O262" s="99" t="s">
        <v>551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 spans="1:25" x14ac:dyDescent="0.25">
      <c r="A263" s="79"/>
      <c r="B263" s="80"/>
      <c r="C263" s="23"/>
      <c r="D263" s="88"/>
      <c r="E263" s="23"/>
      <c r="F263" s="25"/>
      <c r="G263" s="81"/>
      <c r="H263" s="45"/>
      <c r="I263" s="76"/>
      <c r="J263" s="82"/>
      <c r="K263" s="82"/>
      <c r="L263" s="83"/>
      <c r="M263" s="84"/>
      <c r="N263" s="84"/>
      <c r="O263" s="46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 spans="1:25" s="15" customFormat="1" ht="26.4" x14ac:dyDescent="0.25">
      <c r="A264" s="47"/>
      <c r="B264" s="48" t="s">
        <v>178</v>
      </c>
      <c r="C264" s="49"/>
      <c r="D264" s="49"/>
      <c r="E264" s="50"/>
      <c r="F264" s="50"/>
      <c r="G264" s="51">
        <f>SUM(G27:G263)</f>
        <v>947037.15775316302</v>
      </c>
      <c r="H264" s="52" t="s">
        <v>29</v>
      </c>
      <c r="I264" s="53"/>
      <c r="J264" s="54"/>
      <c r="K264" s="55"/>
      <c r="L264" s="55"/>
      <c r="M264" s="56"/>
      <c r="N264" s="57">
        <f>SUM(N27:N263)</f>
        <v>307388825.86762708</v>
      </c>
      <c r="O264" s="78"/>
      <c r="P264" s="89"/>
      <c r="Q264" s="89"/>
      <c r="R264" s="89"/>
      <c r="S264" s="89"/>
      <c r="T264" s="89"/>
      <c r="U264" s="89"/>
      <c r="V264" s="89"/>
      <c r="W264" s="89"/>
      <c r="X264" s="89"/>
      <c r="Y264" s="89"/>
    </row>
    <row r="265" spans="1:25" x14ac:dyDescent="0.25">
      <c r="F265" s="22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 spans="1:25" x14ac:dyDescent="0.25">
      <c r="F266" s="26"/>
    </row>
  </sheetData>
  <sheetProtection password="81D3" sheet="1" objects="1" scenarios="1" selectLockedCells="1" selectUnlockedCells="1"/>
  <mergeCells count="352">
    <mergeCell ref="B1:H1"/>
    <mergeCell ref="B2:H2"/>
    <mergeCell ref="B4:H4"/>
    <mergeCell ref="J258:J259"/>
    <mergeCell ref="K258:K259"/>
    <mergeCell ref="A258:A259"/>
    <mergeCell ref="B258:B259"/>
    <mergeCell ref="C258:C259"/>
    <mergeCell ref="D258:D259"/>
    <mergeCell ref="E258:E259"/>
    <mergeCell ref="K253:K254"/>
    <mergeCell ref="A251:A252"/>
    <mergeCell ref="B251:B252"/>
    <mergeCell ref="C251:C252"/>
    <mergeCell ref="D251:D252"/>
    <mergeCell ref="E251:E252"/>
    <mergeCell ref="F251:F252"/>
    <mergeCell ref="F258:F259"/>
    <mergeCell ref="J251:J252"/>
    <mergeCell ref="K251:K252"/>
    <mergeCell ref="A253:A254"/>
    <mergeCell ref="B253:B254"/>
    <mergeCell ref="C253:C254"/>
    <mergeCell ref="D253:D254"/>
    <mergeCell ref="E253:E254"/>
    <mergeCell ref="F253:F254"/>
    <mergeCell ref="J253:J254"/>
    <mergeCell ref="J205:J207"/>
    <mergeCell ref="K205:K207"/>
    <mergeCell ref="A205:A207"/>
    <mergeCell ref="B205:B207"/>
    <mergeCell ref="C205:C207"/>
    <mergeCell ref="D205:D207"/>
    <mergeCell ref="E205:E207"/>
    <mergeCell ref="F205:F207"/>
    <mergeCell ref="K221:K225"/>
    <mergeCell ref="A221:A225"/>
    <mergeCell ref="B221:B225"/>
    <mergeCell ref="C221:C225"/>
    <mergeCell ref="D221:D225"/>
    <mergeCell ref="E221:E225"/>
    <mergeCell ref="F221:F225"/>
    <mergeCell ref="I217:I218"/>
    <mergeCell ref="J217:J218"/>
    <mergeCell ref="K217:K218"/>
    <mergeCell ref="A215:A216"/>
    <mergeCell ref="B215:B216"/>
    <mergeCell ref="C215:C216"/>
    <mergeCell ref="A150:A151"/>
    <mergeCell ref="B150:B151"/>
    <mergeCell ref="C150:C151"/>
    <mergeCell ref="D150:D151"/>
    <mergeCell ref="E150:E151"/>
    <mergeCell ref="F150:F151"/>
    <mergeCell ref="I150:I151"/>
    <mergeCell ref="J150:J151"/>
    <mergeCell ref="K150:K151"/>
    <mergeCell ref="F142:F143"/>
    <mergeCell ref="I142:I143"/>
    <mergeCell ref="J142:J143"/>
    <mergeCell ref="K142:K143"/>
    <mergeCell ref="A148:A149"/>
    <mergeCell ref="B148:B149"/>
    <mergeCell ref="C148:C149"/>
    <mergeCell ref="D148:D149"/>
    <mergeCell ref="E148:E149"/>
    <mergeCell ref="F148:F149"/>
    <mergeCell ref="I148:I149"/>
    <mergeCell ref="J148:J149"/>
    <mergeCell ref="K148:K149"/>
    <mergeCell ref="D96:D97"/>
    <mergeCell ref="E96:E97"/>
    <mergeCell ref="F96:F97"/>
    <mergeCell ref="D123:D124"/>
    <mergeCell ref="E123:E124"/>
    <mergeCell ref="F123:F124"/>
    <mergeCell ref="I123:I124"/>
    <mergeCell ref="A140:A141"/>
    <mergeCell ref="B140:B141"/>
    <mergeCell ref="C140:C141"/>
    <mergeCell ref="D140:D141"/>
    <mergeCell ref="E140:E141"/>
    <mergeCell ref="F140:F141"/>
    <mergeCell ref="I140:I141"/>
    <mergeCell ref="B128:B130"/>
    <mergeCell ref="C128:C130"/>
    <mergeCell ref="D128:D130"/>
    <mergeCell ref="E128:E130"/>
    <mergeCell ref="F128:F130"/>
    <mergeCell ref="I128:I130"/>
    <mergeCell ref="I58:I59"/>
    <mergeCell ref="J58:J59"/>
    <mergeCell ref="K58:K59"/>
    <mergeCell ref="A58:A59"/>
    <mergeCell ref="B58:B59"/>
    <mergeCell ref="C58:C59"/>
    <mergeCell ref="D58:D59"/>
    <mergeCell ref="E58:E59"/>
    <mergeCell ref="F58:F59"/>
    <mergeCell ref="M34:M35"/>
    <mergeCell ref="M41:M42"/>
    <mergeCell ref="K29:K30"/>
    <mergeCell ref="A41:A42"/>
    <mergeCell ref="B41:B42"/>
    <mergeCell ref="C41:C42"/>
    <mergeCell ref="D41:D42"/>
    <mergeCell ref="E41:E42"/>
    <mergeCell ref="F41:F42"/>
    <mergeCell ref="I41:I42"/>
    <mergeCell ref="J41:J42"/>
    <mergeCell ref="K41:K42"/>
    <mergeCell ref="J29:J30"/>
    <mergeCell ref="D29:D30"/>
    <mergeCell ref="F29:F30"/>
    <mergeCell ref="F34:F35"/>
    <mergeCell ref="J34:J35"/>
    <mergeCell ref="K34:K35"/>
    <mergeCell ref="L34:L35"/>
    <mergeCell ref="A34:A35"/>
    <mergeCell ref="B34:B35"/>
    <mergeCell ref="C34:C35"/>
    <mergeCell ref="D34:D35"/>
    <mergeCell ref="E34:E35"/>
    <mergeCell ref="B29:B30"/>
    <mergeCell ref="I29:I30"/>
    <mergeCell ref="I34:I35"/>
    <mergeCell ref="G22:H22"/>
    <mergeCell ref="B16:C16"/>
    <mergeCell ref="B17:C17"/>
    <mergeCell ref="B18:C18"/>
    <mergeCell ref="B19:C19"/>
    <mergeCell ref="B20:C20"/>
    <mergeCell ref="B21:C21"/>
    <mergeCell ref="A29:A30"/>
    <mergeCell ref="C29:C30"/>
    <mergeCell ref="E29:E30"/>
    <mergeCell ref="L71:L72"/>
    <mergeCell ref="M71:M72"/>
    <mergeCell ref="L74:L75"/>
    <mergeCell ref="I74:I75"/>
    <mergeCell ref="J74:J75"/>
    <mergeCell ref="K74:K75"/>
    <mergeCell ref="M74:M75"/>
    <mergeCell ref="A71:A72"/>
    <mergeCell ref="B71:B72"/>
    <mergeCell ref="C71:C72"/>
    <mergeCell ref="D71:D72"/>
    <mergeCell ref="E71:E72"/>
    <mergeCell ref="F71:F72"/>
    <mergeCell ref="A74:A75"/>
    <mergeCell ref="B74:B75"/>
    <mergeCell ref="C74:C75"/>
    <mergeCell ref="D74:D75"/>
    <mergeCell ref="E74:E75"/>
    <mergeCell ref="F74:F75"/>
    <mergeCell ref="I71:I72"/>
    <mergeCell ref="J71:J72"/>
    <mergeCell ref="K71:K72"/>
    <mergeCell ref="J93:J94"/>
    <mergeCell ref="K93:K94"/>
    <mergeCell ref="A93:A94"/>
    <mergeCell ref="B93:B94"/>
    <mergeCell ref="C93:C94"/>
    <mergeCell ref="D93:D94"/>
    <mergeCell ref="E93:E94"/>
    <mergeCell ref="F93:F94"/>
    <mergeCell ref="J123:J124"/>
    <mergeCell ref="K123:K124"/>
    <mergeCell ref="A123:A124"/>
    <mergeCell ref="B123:B124"/>
    <mergeCell ref="C123:C124"/>
    <mergeCell ref="M76:M77"/>
    <mergeCell ref="L76:L77"/>
    <mergeCell ref="A76:A77"/>
    <mergeCell ref="B76:B77"/>
    <mergeCell ref="C76:C77"/>
    <mergeCell ref="D76:D77"/>
    <mergeCell ref="E76:E77"/>
    <mergeCell ref="F76:F77"/>
    <mergeCell ref="I76:I77"/>
    <mergeCell ref="J76:J77"/>
    <mergeCell ref="K76:K77"/>
    <mergeCell ref="G76:G77"/>
    <mergeCell ref="H76:H77"/>
    <mergeCell ref="I96:I97"/>
    <mergeCell ref="J96:J97"/>
    <mergeCell ref="K96:K97"/>
    <mergeCell ref="A96:A97"/>
    <mergeCell ref="B96:B97"/>
    <mergeCell ref="C96:C97"/>
    <mergeCell ref="J111:J112"/>
    <mergeCell ref="K111:K112"/>
    <mergeCell ref="I111:I112"/>
    <mergeCell ref="B111:B112"/>
    <mergeCell ref="A111:A112"/>
    <mergeCell ref="C111:C112"/>
    <mergeCell ref="D111:D112"/>
    <mergeCell ref="E111:E112"/>
    <mergeCell ref="F111:F112"/>
    <mergeCell ref="J126:J127"/>
    <mergeCell ref="K165:K166"/>
    <mergeCell ref="A165:A166"/>
    <mergeCell ref="B165:B166"/>
    <mergeCell ref="C165:C166"/>
    <mergeCell ref="D165:D166"/>
    <mergeCell ref="E165:E166"/>
    <mergeCell ref="F165:F166"/>
    <mergeCell ref="I165:I166"/>
    <mergeCell ref="J165:J166"/>
    <mergeCell ref="K126:K127"/>
    <mergeCell ref="A126:A127"/>
    <mergeCell ref="B126:B127"/>
    <mergeCell ref="C126:C127"/>
    <mergeCell ref="D126:D127"/>
    <mergeCell ref="E126:E127"/>
    <mergeCell ref="F126:F127"/>
    <mergeCell ref="J140:J141"/>
    <mergeCell ref="K140:K141"/>
    <mergeCell ref="A142:A143"/>
    <mergeCell ref="B142:B143"/>
    <mergeCell ref="C142:C143"/>
    <mergeCell ref="D142:D143"/>
    <mergeCell ref="E142:E143"/>
    <mergeCell ref="I183:I184"/>
    <mergeCell ref="J183:J184"/>
    <mergeCell ref="K183:K184"/>
    <mergeCell ref="A183:A184"/>
    <mergeCell ref="B183:B184"/>
    <mergeCell ref="C183:C184"/>
    <mergeCell ref="D183:D184"/>
    <mergeCell ref="E183:E184"/>
    <mergeCell ref="F183:F184"/>
    <mergeCell ref="D201:D202"/>
    <mergeCell ref="F201:F202"/>
    <mergeCell ref="A201:A202"/>
    <mergeCell ref="B201:B202"/>
    <mergeCell ref="C201:C202"/>
    <mergeCell ref="E201:E202"/>
    <mergeCell ref="I193:I194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D215:D216"/>
    <mergeCell ref="E215:E216"/>
    <mergeCell ref="F215:F216"/>
    <mergeCell ref="I215:I216"/>
    <mergeCell ref="A217:A218"/>
    <mergeCell ref="B217:B218"/>
    <mergeCell ref="C217:C218"/>
    <mergeCell ref="D217:D218"/>
    <mergeCell ref="E217:E218"/>
    <mergeCell ref="F217:F218"/>
    <mergeCell ref="A226:A227"/>
    <mergeCell ref="B226:B227"/>
    <mergeCell ref="C226:C227"/>
    <mergeCell ref="D226:D227"/>
    <mergeCell ref="E226:E227"/>
    <mergeCell ref="A219:A220"/>
    <mergeCell ref="B219:B220"/>
    <mergeCell ref="C219:C220"/>
    <mergeCell ref="D219:D220"/>
    <mergeCell ref="E219:E220"/>
    <mergeCell ref="F226:F227"/>
    <mergeCell ref="I226:I227"/>
    <mergeCell ref="J226:J227"/>
    <mergeCell ref="J219:J220"/>
    <mergeCell ref="K219:K220"/>
    <mergeCell ref="I221:I223"/>
    <mergeCell ref="K226:K227"/>
    <mergeCell ref="F219:F220"/>
    <mergeCell ref="I224:I225"/>
    <mergeCell ref="J221:J225"/>
    <mergeCell ref="A234:A235"/>
    <mergeCell ref="B234:B235"/>
    <mergeCell ref="C234:C235"/>
    <mergeCell ref="D234:D235"/>
    <mergeCell ref="E234:E235"/>
    <mergeCell ref="F234:F235"/>
    <mergeCell ref="A230:A231"/>
    <mergeCell ref="B230:B231"/>
    <mergeCell ref="C230:C231"/>
    <mergeCell ref="D230:D231"/>
    <mergeCell ref="E230:E231"/>
    <mergeCell ref="F230:F231"/>
    <mergeCell ref="K246:K247"/>
    <mergeCell ref="I246:I247"/>
    <mergeCell ref="J244:J245"/>
    <mergeCell ref="K244:K245"/>
    <mergeCell ref="A246:A247"/>
    <mergeCell ref="B246:B247"/>
    <mergeCell ref="C246:C247"/>
    <mergeCell ref="D246:D247"/>
    <mergeCell ref="E246:E247"/>
    <mergeCell ref="F246:F247"/>
    <mergeCell ref="J246:J247"/>
    <mergeCell ref="A244:A245"/>
    <mergeCell ref="B244:B245"/>
    <mergeCell ref="C244:C245"/>
    <mergeCell ref="D244:D245"/>
    <mergeCell ref="E244:E245"/>
    <mergeCell ref="F244:F245"/>
    <mergeCell ref="N76:N77"/>
    <mergeCell ref="O76:O77"/>
    <mergeCell ref="A157:A160"/>
    <mergeCell ref="B157:B160"/>
    <mergeCell ref="C157:C160"/>
    <mergeCell ref="D157:D160"/>
    <mergeCell ref="E157:E160"/>
    <mergeCell ref="F157:F160"/>
    <mergeCell ref="I157:I160"/>
    <mergeCell ref="J157:J160"/>
    <mergeCell ref="K157:K160"/>
    <mergeCell ref="I154:I156"/>
    <mergeCell ref="J154:J156"/>
    <mergeCell ref="K154:K156"/>
    <mergeCell ref="A154:A156"/>
    <mergeCell ref="B154:B156"/>
    <mergeCell ref="C154:C156"/>
    <mergeCell ref="D154:D156"/>
    <mergeCell ref="E154:E156"/>
    <mergeCell ref="F154:F156"/>
    <mergeCell ref="K128:K130"/>
    <mergeCell ref="A128:A130"/>
    <mergeCell ref="J128:J130"/>
    <mergeCell ref="I126:I127"/>
    <mergeCell ref="L193:L194"/>
    <mergeCell ref="N193:N194"/>
    <mergeCell ref="O193:O194"/>
    <mergeCell ref="M193:M194"/>
    <mergeCell ref="G244:G245"/>
    <mergeCell ref="H244:H245"/>
    <mergeCell ref="I244:I245"/>
    <mergeCell ref="L244:L245"/>
    <mergeCell ref="M244:M245"/>
    <mergeCell ref="N244:N245"/>
    <mergeCell ref="O244:O245"/>
    <mergeCell ref="I234:I235"/>
    <mergeCell ref="J234:J235"/>
    <mergeCell ref="K234:K235"/>
    <mergeCell ref="I230:I231"/>
    <mergeCell ref="J230:J231"/>
    <mergeCell ref="K230:K231"/>
    <mergeCell ref="I201:I202"/>
    <mergeCell ref="J201:J202"/>
    <mergeCell ref="K201:K202"/>
    <mergeCell ref="J193:J194"/>
    <mergeCell ref="K193:K194"/>
  </mergeCells>
  <pageMargins left="0.25" right="0.25" top="0.75" bottom="0.75" header="0.3" footer="0.3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123</cp:lastModifiedBy>
  <cp:lastPrinted>2022-08-04T06:10:02Z</cp:lastPrinted>
  <dcterms:created xsi:type="dcterms:W3CDTF">2013-11-07T08:01:25Z</dcterms:created>
  <dcterms:modified xsi:type="dcterms:W3CDTF">2022-08-04T06:10:11Z</dcterms:modified>
</cp:coreProperties>
</file>